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080" yWindow="630" windowWidth="24975" windowHeight="9180" tabRatio="721"/>
  </bookViews>
  <sheets>
    <sheet name="MustCalc" sheetId="9" r:id="rId1"/>
    <sheet name="Yeast Grape Pairings" sheetId="8" r:id="rId2"/>
    <sheet name="Scott Lab Yeast Comparison" sheetId="13" r:id="rId3"/>
    <sheet name="Scott Lab Yeast Stats" sheetId="12" r:id="rId4"/>
    <sheet name="Renaissance Yeast" sheetId="5" r:id="rId5"/>
    <sheet name="FERM. TEMP." sheetId="2" r:id="rId6"/>
    <sheet name="MLF FEASIBILITY" sheetId="3" r:id="rId7"/>
    <sheet name="MLB Chart" sheetId="6" r:id="rId8"/>
    <sheet name="Ferment Graph" sheetId="14" r:id="rId9"/>
  </sheets>
  <externalReferences>
    <externalReference r:id="rId10"/>
  </externalReferences>
  <definedNames>
    <definedName name="_xlnm._FilterDatabase" localSheetId="2" hidden="1">'Scott Lab Yeast Comparison'!$A$2:$T$37</definedName>
    <definedName name="_xlnm._FilterDatabase" localSheetId="3" hidden="1">'Scott Lab Yeast Stats'!$A$3:$S$38</definedName>
    <definedName name="_xlnm._FilterDatabase" localSheetId="1" hidden="1">'Yeast Grape Pairings'!#REF!</definedName>
    <definedName name="Excel_BuiltIn_Print_Area_1" localSheetId="2">#REF!</definedName>
    <definedName name="Excel_BuiltIn_Print_Area_1" localSheetId="3">#REF!</definedName>
    <definedName name="Excel_BuiltIn_Print_Area_1">#REF!</definedName>
    <definedName name="Grape_yield" comment="Juice yield per pound of grapes" localSheetId="2">#REF!</definedName>
    <definedName name="Grape_yield" comment="Juice yield per pound of grapes" localSheetId="3">#REF!</definedName>
    <definedName name="Grape_yield" comment="Juice yield per pound of grapes">#REF!</definedName>
    <definedName name="Must_Yeast_Nutrient" localSheetId="2">#REF!</definedName>
    <definedName name="Must_Yeast_Nutrient" localSheetId="3">#REF!</definedName>
    <definedName name="Must_Yeast_Nutrient">#REF!</definedName>
    <definedName name="_xlnm.Print_Area" localSheetId="0">MustCalc!$A$1:$K$155</definedName>
    <definedName name="_xlnm.Print_Area" localSheetId="2">'Scott Lab Yeast Comparison'!$AD$1:$BB$40</definedName>
    <definedName name="TTB_TABLE_6">[1]MustCalc!$AA$4:$AC$203</definedName>
    <definedName name="Yeast_Table" comment="Yeast nutrient multiplyer table" localSheetId="2">#REF!</definedName>
    <definedName name="Yeast_Table" comment="Yeast nutrient multiplyer table" localSheetId="3">#REF!</definedName>
    <definedName name="Yeast_Table" comment="Yeast nutrient multiplyer table">#REF!</definedName>
  </definedNames>
  <calcPr calcId="145621"/>
</workbook>
</file>

<file path=xl/calcChain.xml><?xml version="1.0" encoding="utf-8"?>
<calcChain xmlns="http://schemas.openxmlformats.org/spreadsheetml/2006/main">
  <c r="K56" i="14" l="1"/>
  <c r="J56" i="14"/>
  <c r="C56" i="14"/>
  <c r="K55" i="14"/>
  <c r="J55" i="14"/>
  <c r="C55" i="14"/>
  <c r="K54" i="14"/>
  <c r="J54" i="14"/>
  <c r="C54" i="14"/>
  <c r="K53" i="14"/>
  <c r="J53" i="14"/>
  <c r="C53" i="14"/>
  <c r="K52" i="14"/>
  <c r="J52" i="14"/>
  <c r="C52" i="14"/>
  <c r="K51" i="14"/>
  <c r="J51" i="14"/>
  <c r="C51" i="14"/>
  <c r="K50" i="14"/>
  <c r="J50" i="14"/>
  <c r="C50" i="14"/>
  <c r="K49" i="14"/>
  <c r="J49" i="14"/>
  <c r="C49" i="14"/>
  <c r="K48" i="14"/>
  <c r="J48" i="14"/>
  <c r="C48" i="14"/>
  <c r="K47" i="14"/>
  <c r="J47" i="14"/>
  <c r="C47" i="14"/>
  <c r="K46" i="14"/>
  <c r="J46" i="14"/>
  <c r="C46" i="14"/>
  <c r="K45" i="14"/>
  <c r="J45" i="14"/>
  <c r="C45" i="14"/>
  <c r="K44" i="14"/>
  <c r="J44" i="14"/>
  <c r="C44" i="14"/>
  <c r="K43" i="14"/>
  <c r="J43" i="14"/>
  <c r="C43" i="14"/>
  <c r="K42" i="14"/>
  <c r="J42" i="14"/>
  <c r="C42" i="14"/>
  <c r="K41" i="14"/>
  <c r="J41" i="14"/>
  <c r="C41" i="14"/>
  <c r="K40" i="14"/>
  <c r="J40" i="14"/>
  <c r="C40" i="14"/>
  <c r="K39" i="14"/>
  <c r="J39" i="14"/>
  <c r="C39" i="14"/>
  <c r="K38" i="14"/>
  <c r="J38" i="14"/>
  <c r="C38" i="14"/>
  <c r="K37" i="14"/>
  <c r="J37" i="14"/>
  <c r="C37" i="14"/>
  <c r="K36" i="14"/>
  <c r="J36" i="14"/>
  <c r="C36" i="14"/>
  <c r="K35" i="14"/>
  <c r="J35" i="14"/>
  <c r="C35" i="14"/>
  <c r="K34" i="14"/>
  <c r="J34" i="14"/>
  <c r="C34" i="14"/>
  <c r="K33" i="14"/>
  <c r="J33" i="14"/>
  <c r="C33" i="14"/>
  <c r="K32" i="14"/>
  <c r="J32" i="14"/>
  <c r="C32" i="14"/>
  <c r="K31" i="14"/>
  <c r="J31" i="14"/>
  <c r="C31" i="14"/>
  <c r="K30" i="14"/>
  <c r="J30" i="14"/>
  <c r="C30" i="14"/>
  <c r="K29" i="14"/>
  <c r="J29" i="14"/>
  <c r="C29" i="14"/>
  <c r="K28" i="14"/>
  <c r="J28" i="14"/>
  <c r="K27" i="14"/>
  <c r="J27" i="14"/>
  <c r="K26" i="14"/>
  <c r="J26" i="14"/>
  <c r="K25" i="14"/>
  <c r="J25" i="14"/>
  <c r="K24" i="14"/>
  <c r="J24" i="14"/>
  <c r="K23" i="14"/>
  <c r="J23" i="14"/>
  <c r="K22" i="14"/>
  <c r="J22" i="14"/>
  <c r="K21" i="14"/>
  <c r="J21" i="14"/>
  <c r="K20" i="14"/>
  <c r="J20" i="14"/>
  <c r="K19" i="14"/>
  <c r="J19" i="14"/>
  <c r="K18" i="14"/>
  <c r="J18" i="14"/>
  <c r="K17" i="14"/>
  <c r="J17" i="14"/>
  <c r="K16" i="14"/>
  <c r="J16" i="14"/>
  <c r="K15" i="14"/>
  <c r="J15" i="14"/>
  <c r="K14" i="14"/>
  <c r="J14" i="14"/>
  <c r="A14" i="14"/>
  <c r="C27" i="14" s="1"/>
  <c r="D27" i="14" s="1"/>
  <c r="C26" i="14" l="1"/>
  <c r="D26" i="14" s="1"/>
  <c r="C18" i="14"/>
  <c r="D18" i="14" s="1"/>
  <c r="I18" i="14" s="1"/>
  <c r="C20" i="14"/>
  <c r="D20" i="14" s="1"/>
  <c r="H20" i="14" s="1"/>
  <c r="C28" i="14"/>
  <c r="D28" i="14" s="1"/>
  <c r="H28" i="14" s="1"/>
  <c r="C14" i="14"/>
  <c r="D14" i="14" s="1"/>
  <c r="H14" i="14" s="1"/>
  <c r="C22" i="14"/>
  <c r="D22" i="14" s="1"/>
  <c r="I22" i="14" s="1"/>
  <c r="C16" i="14"/>
  <c r="D16" i="14" s="1"/>
  <c r="I16" i="14" s="1"/>
  <c r="C24" i="14"/>
  <c r="D24" i="14" s="1"/>
  <c r="I24" i="14" s="1"/>
  <c r="I26" i="14"/>
  <c r="H26" i="14"/>
  <c r="H27" i="14"/>
  <c r="I27" i="14"/>
  <c r="C15" i="14"/>
  <c r="D15" i="14" s="1"/>
  <c r="C17" i="14"/>
  <c r="D17" i="14" s="1"/>
  <c r="C19" i="14"/>
  <c r="D19" i="14" s="1"/>
  <c r="C21" i="14"/>
  <c r="D21" i="14" s="1"/>
  <c r="C23" i="14"/>
  <c r="D23" i="14" s="1"/>
  <c r="C25" i="14"/>
  <c r="D25" i="14" s="1"/>
  <c r="D11" i="3"/>
  <c r="H16" i="14" l="1"/>
  <c r="H18" i="14"/>
  <c r="I28" i="14"/>
  <c r="D29" i="14"/>
  <c r="H29" i="14" s="1"/>
  <c r="I20" i="14"/>
  <c r="H24" i="14"/>
  <c r="I15" i="14"/>
  <c r="H15" i="14"/>
  <c r="H22" i="14"/>
  <c r="I25" i="14"/>
  <c r="H25" i="14"/>
  <c r="H17" i="14"/>
  <c r="I17" i="14"/>
  <c r="I23" i="14"/>
  <c r="H23" i="14"/>
  <c r="H21" i="14"/>
  <c r="I21" i="14"/>
  <c r="I14" i="14"/>
  <c r="H19" i="14"/>
  <c r="I19" i="14"/>
  <c r="D87" i="9"/>
  <c r="D95" i="9"/>
  <c r="D88" i="9"/>
  <c r="D91" i="9"/>
  <c r="K89" i="9"/>
  <c r="I29" i="14" l="1"/>
  <c r="D30" i="14"/>
  <c r="H30" i="14" s="1"/>
  <c r="H20" i="13"/>
  <c r="R13" i="13"/>
  <c r="Q13" i="13"/>
  <c r="P13" i="13"/>
  <c r="I30" i="14" l="1"/>
  <c r="D31" i="14"/>
  <c r="I31" i="14" s="1"/>
  <c r="R27" i="13"/>
  <c r="R26" i="13"/>
  <c r="R25" i="13"/>
  <c r="R24" i="13"/>
  <c r="R23" i="13"/>
  <c r="R22" i="13"/>
  <c r="R21" i="13"/>
  <c r="R18" i="13"/>
  <c r="R17" i="13"/>
  <c r="R16" i="13"/>
  <c r="R15" i="13"/>
  <c r="R20" i="13"/>
  <c r="R19" i="13"/>
  <c r="R14" i="13"/>
  <c r="R12" i="13"/>
  <c r="R11" i="13"/>
  <c r="R10" i="13"/>
  <c r="R9" i="13"/>
  <c r="R8" i="13"/>
  <c r="R7" i="13"/>
  <c r="R6" i="13"/>
  <c r="R5" i="13"/>
  <c r="Q5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2" i="13"/>
  <c r="Q11" i="13"/>
  <c r="Q10" i="13"/>
  <c r="Q9" i="13"/>
  <c r="Q8" i="13"/>
  <c r="Q7" i="13"/>
  <c r="Q6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H23" i="13"/>
  <c r="H22" i="13"/>
  <c r="H21" i="13"/>
  <c r="H19" i="13"/>
  <c r="H18" i="13"/>
  <c r="H17" i="13"/>
  <c r="H16" i="13"/>
  <c r="H15" i="13"/>
  <c r="H14" i="13"/>
  <c r="H13" i="13"/>
  <c r="H11" i="13"/>
  <c r="H12" i="13"/>
  <c r="H10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9" i="13"/>
  <c r="D32" i="14" l="1"/>
  <c r="D33" i="14" s="1"/>
  <c r="H31" i="14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2" i="13"/>
  <c r="P11" i="13"/>
  <c r="H32" i="14" l="1"/>
  <c r="I32" i="14"/>
  <c r="H33" i="14"/>
  <c r="D34" i="14"/>
  <c r="I33" i="14"/>
  <c r="I10" i="13"/>
  <c r="H9" i="13"/>
  <c r="I8" i="13"/>
  <c r="H8" i="13"/>
  <c r="I7" i="13"/>
  <c r="H7" i="13"/>
  <c r="I6" i="13"/>
  <c r="H6" i="13"/>
  <c r="P9" i="13"/>
  <c r="P10" i="13"/>
  <c r="P8" i="13"/>
  <c r="P7" i="13"/>
  <c r="P6" i="13"/>
  <c r="P5" i="13"/>
  <c r="I5" i="13"/>
  <c r="H5" i="13"/>
  <c r="G8" i="13"/>
  <c r="G7" i="13"/>
  <c r="G6" i="13"/>
  <c r="G5" i="13"/>
  <c r="D35" i="14" l="1"/>
  <c r="I34" i="14"/>
  <c r="H34" i="14"/>
  <c r="F4" i="8"/>
  <c r="D36" i="14" l="1"/>
  <c r="I35" i="14"/>
  <c r="H35" i="14"/>
  <c r="C81" i="9"/>
  <c r="D37" i="14" l="1"/>
  <c r="I36" i="14"/>
  <c r="H36" i="14"/>
  <c r="D82" i="9"/>
  <c r="D81" i="9"/>
  <c r="H37" i="14" l="1"/>
  <c r="D38" i="14"/>
  <c r="I37" i="14"/>
  <c r="C82" i="9"/>
  <c r="D39" i="14" l="1"/>
  <c r="I38" i="14"/>
  <c r="H38" i="14"/>
  <c r="C19" i="9"/>
  <c r="E19" i="9"/>
  <c r="F19" i="9"/>
  <c r="D23" i="9"/>
  <c r="E23" i="9" s="1"/>
  <c r="D24" i="9"/>
  <c r="E24" i="9"/>
  <c r="C30" i="9"/>
  <c r="D30" i="9" s="1"/>
  <c r="D40" i="14" l="1"/>
  <c r="I39" i="14"/>
  <c r="H39" i="14"/>
  <c r="K82" i="9"/>
  <c r="J83" i="9" s="1"/>
  <c r="D41" i="14" l="1"/>
  <c r="I40" i="14"/>
  <c r="H40" i="14"/>
  <c r="K105" i="9"/>
  <c r="D105" i="9"/>
  <c r="K104" i="9"/>
  <c r="D104" i="9"/>
  <c r="K103" i="9"/>
  <c r="D103" i="9"/>
  <c r="K102" i="9"/>
  <c r="D102" i="9"/>
  <c r="K101" i="9"/>
  <c r="D101" i="9"/>
  <c r="K100" i="9"/>
  <c r="D100" i="9"/>
  <c r="K99" i="9"/>
  <c r="D99" i="9"/>
  <c r="K98" i="9"/>
  <c r="D98" i="9"/>
  <c r="K97" i="9"/>
  <c r="D97" i="9"/>
  <c r="K96" i="9"/>
  <c r="D96" i="9"/>
  <c r="K95" i="9"/>
  <c r="K94" i="9"/>
  <c r="D94" i="9"/>
  <c r="K93" i="9"/>
  <c r="D93" i="9"/>
  <c r="K92" i="9"/>
  <c r="D92" i="9"/>
  <c r="K91" i="9"/>
  <c r="K90" i="9"/>
  <c r="D90" i="9"/>
  <c r="D89" i="9"/>
  <c r="K88" i="9"/>
  <c r="K87" i="9"/>
  <c r="D86" i="9"/>
  <c r="C83" i="9"/>
  <c r="G78" i="9"/>
  <c r="K77" i="9"/>
  <c r="D77" i="9"/>
  <c r="D76" i="9"/>
  <c r="G73" i="9"/>
  <c r="C72" i="9"/>
  <c r="K71" i="9"/>
  <c r="D71" i="9"/>
  <c r="G74" i="9" s="1"/>
  <c r="C67" i="9"/>
  <c r="A67" i="9"/>
  <c r="F66" i="9"/>
  <c r="F65" i="9" s="1"/>
  <c r="F67" i="9" s="1"/>
  <c r="J65" i="9"/>
  <c r="C65" i="9"/>
  <c r="A65" i="9"/>
  <c r="D64" i="9"/>
  <c r="J63" i="9"/>
  <c r="D63" i="9"/>
  <c r="C63" i="9"/>
  <c r="A63" i="9"/>
  <c r="C61" i="9"/>
  <c r="A61" i="9"/>
  <c r="K59" i="9"/>
  <c r="C59" i="9"/>
  <c r="A59" i="9"/>
  <c r="G58" i="9"/>
  <c r="H55" i="9"/>
  <c r="K52" i="9"/>
  <c r="F51" i="9"/>
  <c r="E51" i="9"/>
  <c r="C51" i="9"/>
  <c r="C52" i="9" s="1"/>
  <c r="C53" i="9" s="1"/>
  <c r="F50" i="9"/>
  <c r="F48" i="9"/>
  <c r="K46" i="9"/>
  <c r="K49" i="9" s="1"/>
  <c r="K53" i="9" s="1"/>
  <c r="D39" i="9"/>
  <c r="I36" i="9" s="1"/>
  <c r="C39" i="9"/>
  <c r="I37" i="9" s="1"/>
  <c r="I38" i="9" s="1"/>
  <c r="D37" i="9"/>
  <c r="J32" i="9" s="1"/>
  <c r="C37" i="9"/>
  <c r="D36" i="9"/>
  <c r="I31" i="9" s="1"/>
  <c r="C36" i="9"/>
  <c r="D35" i="9"/>
  <c r="H30" i="9" s="1"/>
  <c r="C35" i="9"/>
  <c r="B33" i="9"/>
  <c r="D33" i="9" s="1"/>
  <c r="G25" i="9"/>
  <c r="I25" i="9" s="1"/>
  <c r="N19" i="9"/>
  <c r="N18" i="9"/>
  <c r="N17" i="9"/>
  <c r="N16" i="9"/>
  <c r="N15" i="9"/>
  <c r="K12" i="9"/>
  <c r="F12" i="9"/>
  <c r="C12" i="9"/>
  <c r="K11" i="9"/>
  <c r="F11" i="9"/>
  <c r="C11" i="9"/>
  <c r="K10" i="9"/>
  <c r="F10" i="9"/>
  <c r="C10" i="9"/>
  <c r="K9" i="9"/>
  <c r="F9" i="9"/>
  <c r="C9" i="9"/>
  <c r="K8" i="9"/>
  <c r="F8" i="9"/>
  <c r="C8" i="9"/>
  <c r="K7" i="9"/>
  <c r="F7" i="9"/>
  <c r="C7" i="9"/>
  <c r="H41" i="14" l="1"/>
  <c r="D42" i="14"/>
  <c r="I41" i="14"/>
  <c r="C13" i="9"/>
  <c r="I32" i="9"/>
  <c r="J37" i="9"/>
  <c r="K37" i="9" s="1"/>
  <c r="K65" i="9"/>
  <c r="G79" i="9"/>
  <c r="F13" i="9"/>
  <c r="K13" i="9"/>
  <c r="N20" i="9"/>
  <c r="J19" i="9" s="1"/>
  <c r="K19" i="9" s="1"/>
  <c r="K63" i="9"/>
  <c r="K25" i="9"/>
  <c r="J38" i="9"/>
  <c r="K32" i="9"/>
  <c r="J36" i="9"/>
  <c r="K36" i="9" s="1"/>
  <c r="H25" i="9"/>
  <c r="J25" i="9"/>
  <c r="J31" i="9"/>
  <c r="K31" i="9" s="1"/>
  <c r="G30" i="9"/>
  <c r="K30" i="9" s="1"/>
  <c r="B34" i="9"/>
  <c r="C34" i="9" s="1"/>
  <c r="C40" i="9" s="1"/>
  <c r="F24" i="8"/>
  <c r="D43" i="14" l="1"/>
  <c r="I42" i="14"/>
  <c r="H42" i="14"/>
  <c r="D34" i="9"/>
  <c r="G33" i="9"/>
  <c r="H33" i="9" s="1"/>
  <c r="I33" i="9" s="1"/>
  <c r="J33" i="9" s="1"/>
  <c r="K33" i="9" s="1"/>
  <c r="K38" i="9"/>
  <c r="F34" i="8"/>
  <c r="F33" i="8"/>
  <c r="F32" i="8"/>
  <c r="F31" i="8"/>
  <c r="F30" i="8"/>
  <c r="F29" i="8"/>
  <c r="F28" i="8"/>
  <c r="F27" i="8"/>
  <c r="F26" i="8"/>
  <c r="F25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D44" i="14" l="1"/>
  <c r="I43" i="14"/>
  <c r="H43" i="14"/>
  <c r="F9" i="8"/>
  <c r="F8" i="8"/>
  <c r="F7" i="8"/>
  <c r="F6" i="8"/>
  <c r="F5" i="8"/>
  <c r="D45" i="14" l="1"/>
  <c r="I44" i="14"/>
  <c r="H44" i="14"/>
  <c r="C11" i="3"/>
  <c r="C10" i="3"/>
  <c r="C9" i="3"/>
  <c r="C8" i="3"/>
  <c r="C7" i="3"/>
  <c r="C6" i="3"/>
  <c r="C5" i="3"/>
  <c r="C4" i="3"/>
  <c r="C3" i="3"/>
  <c r="C5" i="2"/>
  <c r="C4" i="2"/>
  <c r="C3" i="2"/>
  <c r="D46" i="14" l="1"/>
  <c r="I45" i="14"/>
  <c r="H45" i="14"/>
  <c r="B14" i="3"/>
  <c r="C6" i="2"/>
  <c r="B7" i="2" s="1"/>
  <c r="D47" i="14" l="1"/>
  <c r="I46" i="14"/>
  <c r="H46" i="14"/>
  <c r="D48" i="14" l="1"/>
  <c r="I47" i="14"/>
  <c r="H47" i="14"/>
  <c r="D49" i="14" l="1"/>
  <c r="I48" i="14"/>
  <c r="H48" i="14"/>
  <c r="D50" i="14" l="1"/>
  <c r="I49" i="14"/>
  <c r="H49" i="14"/>
  <c r="D51" i="14" l="1"/>
  <c r="I50" i="14"/>
  <c r="H50" i="14"/>
  <c r="D52" i="14" l="1"/>
  <c r="I51" i="14"/>
  <c r="H51" i="14"/>
  <c r="D53" i="14" l="1"/>
  <c r="I52" i="14"/>
  <c r="H52" i="14"/>
  <c r="D54" i="14" l="1"/>
  <c r="I53" i="14"/>
  <c r="H53" i="14"/>
  <c r="D55" i="14" l="1"/>
  <c r="I54" i="14"/>
  <c r="H54" i="14"/>
  <c r="D56" i="14" l="1"/>
  <c r="I55" i="14"/>
  <c r="H55" i="14"/>
  <c r="I56" i="14" l="1"/>
  <c r="H56" i="14"/>
</calcChain>
</file>

<file path=xl/comments1.xml><?xml version="1.0" encoding="utf-8"?>
<comments xmlns="http://schemas.openxmlformats.org/spreadsheetml/2006/main">
  <authors>
    <author>Unknown Author</author>
    <author>Willem Wyngaards</author>
  </authors>
  <commentList>
    <comment ref="AA2" authorId="0">
      <text>
        <r>
          <rPr>
            <b/>
            <sz val="12"/>
            <color rgb="FF000000"/>
            <rFont val="Tahoma"/>
            <family val="2"/>
          </rPr>
          <t xml:space="preserve">REFERENCE:—
</t>
        </r>
        <r>
          <rPr>
            <sz val="12"/>
            <color rgb="FF000000"/>
            <rFont val="Tahoma"/>
            <family val="2"/>
          </rPr>
          <t>National Bureau of Standards Bulletin of Standards, Vol. 9, No. 3, pages 327–474, Oct. 15, 1913</t>
        </r>
      </text>
    </comment>
    <comment ref="AE2" authorId="0">
      <text>
        <r>
          <rPr>
            <b/>
            <sz val="12"/>
            <color rgb="FF000000"/>
            <rFont val="Tahoma"/>
            <family val="2"/>
          </rPr>
          <t>15.56°C/15.56°C</t>
        </r>
      </text>
    </comment>
    <comment ref="AC3" authorId="0">
      <text>
        <r>
          <rPr>
            <b/>
            <sz val="12"/>
            <color rgb="FF000000"/>
            <rFont val="Tahoma"/>
            <family val="2"/>
          </rPr>
          <t xml:space="preserve">VOLUMES
</t>
        </r>
        <r>
          <rPr>
            <sz val="12"/>
            <color rgb="FF000000"/>
            <rFont val="Tahoma"/>
            <family val="2"/>
          </rPr>
          <t xml:space="preserve">at 15.55°C (60°F)
</t>
        </r>
      </text>
    </comment>
    <comment ref="B6" authorId="0">
      <text>
        <r>
          <rPr>
            <b/>
            <sz val="12"/>
            <color rgb="FF000000"/>
            <rFont val="Tahoma"/>
            <family val="2"/>
          </rPr>
          <t>6 gal API Kirk #16 pail</t>
        </r>
        <r>
          <rPr>
            <sz val="12"/>
            <color rgb="FF000000"/>
            <rFont val="Tahoma"/>
            <family val="2"/>
          </rPr>
          <t xml:space="preserve"> from California.
Freeboard measured down from the top rim.</t>
        </r>
        <r>
          <rPr>
            <b/>
            <sz val="12"/>
            <color rgb="FF000000"/>
            <rFont val="Tahoma"/>
            <family val="2"/>
          </rPr>
          <t xml:space="preserve"> (mm)</t>
        </r>
      </text>
    </comment>
    <comment ref="E6" authorId="0">
      <text>
        <r>
          <rPr>
            <b/>
            <sz val="12"/>
            <color rgb="FF000000"/>
            <rFont val="Tahoma"/>
            <family val="2"/>
          </rPr>
          <t>6 gal API Kirk #16 pail</t>
        </r>
        <r>
          <rPr>
            <sz val="12"/>
            <color rgb="FF000000"/>
            <rFont val="Tahoma"/>
            <family val="2"/>
          </rPr>
          <t xml:space="preserve"> from California.
Freeboard measured down from the top rim in</t>
        </r>
        <r>
          <rPr>
            <b/>
            <sz val="12"/>
            <color rgb="FF000000"/>
            <rFont val="Tahoma"/>
            <family val="2"/>
          </rPr>
          <t xml:space="preserve"> (mm)</t>
        </r>
        <r>
          <rPr>
            <sz val="12"/>
            <color rgb="FF000000"/>
            <rFont val="Tahoma"/>
            <family val="2"/>
          </rPr>
          <t>.</t>
        </r>
      </text>
    </comment>
    <comment ref="H15" authorId="0">
      <text>
        <r>
          <rPr>
            <b/>
            <sz val="9"/>
            <color rgb="FF000000"/>
            <rFont val="Tahoma"/>
            <family val="2"/>
          </rPr>
          <t xml:space="preserve">  </t>
        </r>
        <r>
          <rPr>
            <b/>
            <sz val="12"/>
            <color rgb="FF000000"/>
            <rFont val="Tahoma"/>
            <family val="2"/>
          </rPr>
          <t xml:space="preserve"> ENZYME—CLARIFICATION
</t>
        </r>
        <r>
          <rPr>
            <sz val="12"/>
            <color rgb="FF000000"/>
            <rFont val="Tahoma"/>
            <family val="2"/>
          </rPr>
          <t>Dilution: in Juice or Water 1:100
3—12 HRS</t>
        </r>
      </text>
    </comment>
    <comment ref="E16" authorId="0">
      <text>
        <r>
          <rPr>
            <sz val="12"/>
            <color rgb="FF000000"/>
            <rFont val="Tahoma"/>
            <family val="2"/>
          </rPr>
          <t>J. Blouin, E. Peynaud, 2001
"Connaissance et travail du vin", Dunod, Paris
RED     %ABV = 05634 X °BX
WHITE %ABV =0.5797 X °Bx</t>
        </r>
      </text>
    </comment>
    <comment ref="D22" authorId="0">
      <text>
        <r>
          <rPr>
            <sz val="12"/>
            <color rgb="FF000000"/>
            <rFont val="Tahoma"/>
            <family val="2"/>
          </rPr>
          <t xml:space="preserve">Kilogram (Kg) to Pounds (Lbs)
Multiply Kilograms by </t>
        </r>
        <r>
          <rPr>
            <b/>
            <sz val="12"/>
            <color rgb="FF000000"/>
            <rFont val="Tahoma"/>
            <family val="2"/>
          </rPr>
          <t>2.204</t>
        </r>
      </text>
    </comment>
    <comment ref="D23" authorId="0">
      <text>
        <r>
          <rPr>
            <sz val="12"/>
            <color rgb="FF000000"/>
            <rFont val="Tahoma"/>
            <family val="2"/>
          </rPr>
          <t>Add 1/2 and Check change in Brix reading. Use change in Brix reading to re-calculate volume estimate.</t>
        </r>
      </text>
    </comment>
    <comment ref="D25" authorId="0">
      <text>
        <r>
          <rPr>
            <sz val="12"/>
            <color rgb="FF000000"/>
            <rFont val="Tahoma"/>
            <family val="2"/>
          </rPr>
          <t xml:space="preserve">Pounds (Lbs) to Kilograms (kg) multiply pounds by </t>
        </r>
        <r>
          <rPr>
            <b/>
            <sz val="12"/>
            <color rgb="FF000000"/>
            <rFont val="Tahoma"/>
            <family val="2"/>
          </rPr>
          <t>0.454</t>
        </r>
      </text>
    </comment>
    <comment ref="A26" authorId="1">
      <text>
        <r>
          <rPr>
            <b/>
            <sz val="12"/>
            <color indexed="81"/>
            <rFont val="Tahoma"/>
            <family val="2"/>
          </rPr>
          <t xml:space="preserve">REFERENCE:–
5 </t>
        </r>
        <r>
          <rPr>
            <sz val="12"/>
            <color indexed="81"/>
            <rFont val="Tahoma"/>
            <family val="2"/>
          </rPr>
          <t>Scott Labs Handbooks</t>
        </r>
      </text>
    </comment>
    <comment ref="G27" authorId="1">
      <text>
        <r>
          <rPr>
            <b/>
            <sz val="12"/>
            <color indexed="81"/>
            <rFont val="Tahoma"/>
            <family val="2"/>
          </rPr>
          <t>ORGANIC YAN ADDED FIRST</t>
        </r>
      </text>
    </comment>
    <comment ref="I27" authorId="1">
      <text>
        <r>
          <rPr>
            <b/>
            <sz val="12"/>
            <color indexed="81"/>
            <rFont val="Tahoma"/>
            <family val="2"/>
          </rPr>
          <t xml:space="preserve">YAN WITH A %  DAP ADD AFTER 100% ORGANIC YAN </t>
        </r>
      </text>
    </comment>
    <comment ref="G29" authorId="0">
      <text>
        <r>
          <rPr>
            <sz val="12"/>
            <color rgb="FF000000"/>
            <rFont val="Tahoma"/>
            <family val="2"/>
          </rPr>
          <t xml:space="preserve">Edit split percentages to total 100% At start up provide </t>
        </r>
        <r>
          <rPr>
            <b/>
            <sz val="12"/>
            <color rgb="FF000000"/>
            <rFont val="Tahoma"/>
            <family val="2"/>
          </rPr>
          <t>±150 mgN/L</t>
        </r>
      </text>
    </comment>
    <comment ref="C30" authorId="0">
      <text>
        <r>
          <rPr>
            <b/>
            <sz val="12"/>
            <color rgb="FF000000"/>
            <rFont val="Tahoma"/>
            <family val="2"/>
          </rPr>
          <t xml:space="preserve">YAN Recommended levels: 
</t>
        </r>
        <r>
          <rPr>
            <sz val="12"/>
            <color rgb="FF000000"/>
            <rFont val="Tahoma"/>
            <family val="2"/>
          </rPr>
          <t>LESS THAN 150 mgN/L STUCK FERMENT
LESS THAN 200 mgN/L H</t>
        </r>
        <r>
          <rPr>
            <vertAlign val="subscript"/>
            <sz val="12"/>
            <color rgb="FF000000"/>
            <rFont val="Tahoma"/>
            <family val="2"/>
          </rPr>
          <t>2</t>
        </r>
        <r>
          <rPr>
            <sz val="12"/>
            <color rgb="FF000000"/>
            <rFont val="Tahoma"/>
            <family val="2"/>
          </rPr>
          <t>S RISK</t>
        </r>
      </text>
    </comment>
    <comment ref="D30" authorId="0">
      <text>
        <r>
          <rPr>
            <sz val="12"/>
            <color rgb="FF000000"/>
            <rFont val="Tahoma"/>
            <family val="2"/>
          </rPr>
          <t xml:space="preserve">Increase nitrogen sources in Column B until YAN total in cell </t>
        </r>
        <r>
          <rPr>
            <b/>
            <sz val="12"/>
            <color rgb="FF000000"/>
            <rFont val="Tahoma"/>
            <family val="2"/>
          </rPr>
          <t>C40</t>
        </r>
        <r>
          <rPr>
            <sz val="12"/>
            <color rgb="FF000000"/>
            <rFont val="Tahoma"/>
            <family val="2"/>
          </rPr>
          <t xml:space="preserve"> equals YAN in cell </t>
        </r>
        <r>
          <rPr>
            <b/>
            <sz val="12"/>
            <color rgb="FF000000"/>
            <rFont val="Tahoma"/>
            <family val="2"/>
          </rPr>
          <t>D30</t>
        </r>
      </text>
    </comment>
    <comment ref="D31" authorId="0">
      <text>
        <r>
          <rPr>
            <b/>
            <sz val="12"/>
            <color rgb="FF000000"/>
            <rFont val="Tahoma"/>
            <family val="2"/>
          </rPr>
          <t xml:space="preserve">   Enter</t>
        </r>
        <r>
          <rPr>
            <sz val="12"/>
            <color rgb="FF000000"/>
            <rFont val="Tahoma"/>
            <family val="2"/>
          </rPr>
          <t xml:space="preserve"> 
Volume in cell </t>
        </r>
        <r>
          <rPr>
            <b/>
            <sz val="12"/>
            <color rgb="FF000000"/>
            <rFont val="Tahoma"/>
            <family val="2"/>
          </rPr>
          <t xml:space="preserve">D27
</t>
        </r>
        <r>
          <rPr>
            <sz val="12"/>
            <color rgb="FF000000"/>
            <rFont val="Tahoma"/>
            <family val="2"/>
          </rPr>
          <t>°Brix in</t>
        </r>
        <r>
          <rPr>
            <b/>
            <sz val="12"/>
            <color rgb="FF000000"/>
            <rFont val="Tahoma"/>
            <family val="2"/>
          </rPr>
          <t xml:space="preserve"> cell B27</t>
        </r>
      </text>
    </comment>
    <comment ref="B33" authorId="0">
      <text>
        <r>
          <rPr>
            <sz val="12"/>
            <color rgb="FF000000"/>
            <rFont val="Tahoma"/>
            <family val="2"/>
          </rPr>
          <t>Standard dosage is 0.25 g/L.
Amount increases proportional to Brix.</t>
        </r>
      </text>
    </comment>
    <comment ref="A34" authorId="0">
      <text>
        <r>
          <rPr>
            <b/>
            <sz val="12"/>
            <color rgb="FF000000"/>
            <rFont val="Tahoma"/>
            <family val="2"/>
          </rPr>
          <t xml:space="preserve">GoFerm
</t>
        </r>
        <r>
          <rPr>
            <sz val="12"/>
            <color rgb="FF000000"/>
            <rFont val="Tahoma"/>
            <family val="2"/>
          </rPr>
          <t>Added to yeast rehydration water. 
1 g/L yields 30 mgN/L</t>
        </r>
      </text>
    </comment>
    <comment ref="B34" authorId="0">
      <text>
        <r>
          <rPr>
            <sz val="12"/>
            <color rgb="FF000000"/>
            <rFont val="Tahoma"/>
            <family val="2"/>
          </rPr>
          <t xml:space="preserve">Standard dosage is 1.25 times weight of yeast, rehydrate in 20 times its weight in water. </t>
        </r>
      </text>
    </comment>
    <comment ref="A35" authorId="0">
      <text>
        <r>
          <rPr>
            <b/>
            <sz val="12"/>
            <color rgb="FF000000"/>
            <rFont val="Tahoma"/>
            <family val="2"/>
          </rPr>
          <t xml:space="preserve">Fermaid O
</t>
        </r>
        <r>
          <rPr>
            <sz val="12"/>
            <color rgb="FF000000"/>
            <rFont val="Tahoma"/>
            <family val="2"/>
          </rPr>
          <t xml:space="preserve">1 g/L yields 40 mgN/L </t>
        </r>
        <r>
          <rPr>
            <b/>
            <sz val="12"/>
            <color rgb="FF000000"/>
            <rFont val="Tahoma"/>
            <family val="2"/>
          </rPr>
          <t>but</t>
        </r>
        <r>
          <rPr>
            <sz val="12"/>
            <color rgb="FF000000"/>
            <rFont val="Tahoma"/>
            <family val="2"/>
          </rPr>
          <t xml:space="preserve"> is equivalent to 160—240 mgN/L
160 mg/L is used in equation.</t>
        </r>
      </text>
    </comment>
    <comment ref="A36" authorId="0">
      <text>
        <r>
          <rPr>
            <b/>
            <sz val="12"/>
            <color rgb="FF000000"/>
            <rFont val="Tahoma"/>
            <family val="2"/>
          </rPr>
          <t xml:space="preserve">Fermaid K
</t>
        </r>
        <r>
          <rPr>
            <sz val="12"/>
            <color rgb="FF000000"/>
            <rFont val="Tahoma"/>
            <family val="2"/>
          </rPr>
          <t>1 g/L 
yields 100 mgN/L</t>
        </r>
      </text>
    </comment>
    <comment ref="B36" authorId="0">
      <text>
        <r>
          <rPr>
            <b/>
            <sz val="12"/>
            <color rgb="FF000000"/>
            <rFont val="Tahoma"/>
            <family val="2"/>
          </rPr>
          <t>0.5 g/L</t>
        </r>
        <r>
          <rPr>
            <sz val="12"/>
            <color rgb="FF000000"/>
            <rFont val="Tahoma"/>
            <family val="2"/>
          </rPr>
          <t xml:space="preserve"> is the maximum amount set by the </t>
        </r>
        <r>
          <rPr>
            <b/>
            <sz val="12"/>
            <color rgb="FF000000"/>
            <rFont val="Tahoma"/>
            <family val="2"/>
          </rPr>
          <t>A</t>
        </r>
        <r>
          <rPr>
            <sz val="12"/>
            <color rgb="FF000000"/>
            <rFont val="Tahoma"/>
            <family val="2"/>
          </rPr>
          <t xml:space="preserve">lcohol and </t>
        </r>
        <r>
          <rPr>
            <b/>
            <sz val="12"/>
            <color rgb="FF000000"/>
            <rFont val="Tahoma"/>
            <family val="2"/>
          </rPr>
          <t>T</t>
        </r>
        <r>
          <rPr>
            <sz val="12"/>
            <color rgb="FF000000"/>
            <rFont val="Tahoma"/>
            <family val="2"/>
          </rPr>
          <t xml:space="preserve">obacco </t>
        </r>
        <r>
          <rPr>
            <b/>
            <sz val="12"/>
            <color rgb="FF000000"/>
            <rFont val="Tahoma"/>
            <family val="2"/>
          </rPr>
          <t>T</t>
        </r>
        <r>
          <rPr>
            <sz val="12"/>
            <color rgb="FF000000"/>
            <rFont val="Tahoma"/>
            <family val="2"/>
          </rPr>
          <t xml:space="preserve">ax </t>
        </r>
        <r>
          <rPr>
            <b/>
            <sz val="12"/>
            <color rgb="FF000000"/>
            <rFont val="Tahoma"/>
            <family val="2"/>
          </rPr>
          <t>B</t>
        </r>
        <r>
          <rPr>
            <sz val="12"/>
            <color rgb="FF000000"/>
            <rFont val="Tahoma"/>
            <family val="2"/>
          </rPr>
          <t>ureau because of the vitamin B1 (thiamine) content, limit is 0.6 mg/L</t>
        </r>
      </text>
    </comment>
    <comment ref="A37" authorId="0">
      <text>
        <r>
          <rPr>
            <b/>
            <sz val="12"/>
            <color rgb="FF000000"/>
            <rFont val="Tahoma"/>
            <family val="2"/>
          </rPr>
          <t>Superfood</t>
        </r>
        <r>
          <rPr>
            <sz val="12"/>
            <color rgb="FF000000"/>
            <rFont val="Tahoma"/>
            <family val="2"/>
          </rPr>
          <t>, (Spagnols ?)
1 g/L yields 91.76 mgN/L</t>
        </r>
      </text>
    </comment>
    <comment ref="A39" authorId="0">
      <text>
        <r>
          <rPr>
            <b/>
            <sz val="12"/>
            <color rgb="FF000000"/>
            <rFont val="Tahoma"/>
            <family val="2"/>
          </rPr>
          <t xml:space="preserve">LIMIT THE AMOUNT OF DAP
</t>
        </r>
        <r>
          <rPr>
            <sz val="12"/>
            <color rgb="FF000000"/>
            <rFont val="Tahoma"/>
            <family val="2"/>
          </rPr>
          <t xml:space="preserve">Use organic nutrients (GoFerm and Fermaid O) at start up. 
DAP should be use only if YAN is very low and after lag phase. This is approximately a 2—3 Brix drop. 
</t>
        </r>
        <r>
          <rPr>
            <b/>
            <sz val="12"/>
            <color rgb="FF000000"/>
            <rFont val="Tahoma"/>
            <family val="2"/>
          </rPr>
          <t xml:space="preserve">NOTE:-
</t>
        </r>
        <r>
          <rPr>
            <sz val="12"/>
            <color rgb="FF000000"/>
            <rFont val="Tahoma"/>
            <family val="2"/>
          </rPr>
          <t xml:space="preserve">US ATTB DAP limit is </t>
        </r>
        <r>
          <rPr>
            <b/>
            <sz val="12"/>
            <color rgb="FF000000"/>
            <rFont val="Tahoma"/>
            <family val="2"/>
          </rPr>
          <t>0.97 g/L</t>
        </r>
        <r>
          <rPr>
            <sz val="12"/>
            <color rgb="FF000000"/>
            <rFont val="Tahoma"/>
            <family val="2"/>
          </rPr>
          <t xml:space="preserve"> = 203 mgN/L 
Australia DAP limit is </t>
        </r>
        <r>
          <rPr>
            <b/>
            <sz val="12"/>
            <color rgb="FF000000"/>
            <rFont val="Tahoma"/>
            <family val="2"/>
          </rPr>
          <t>1.7 g/L</t>
        </r>
        <r>
          <rPr>
            <sz val="12"/>
            <color rgb="FF000000"/>
            <rFont val="Tahoma"/>
            <family val="2"/>
          </rPr>
          <t xml:space="preserve"> = 360 mgN/L.
 1 g/L DAP yields 212 mgN/L</t>
        </r>
      </text>
    </comment>
    <comment ref="B39" authorId="0">
      <text>
        <r>
          <rPr>
            <b/>
            <sz val="12"/>
            <color rgb="FF000000"/>
            <rFont val="Tahoma"/>
            <family val="2"/>
          </rPr>
          <t>0.97 g/L</t>
        </r>
        <r>
          <rPr>
            <sz val="12"/>
            <color rgb="FF000000"/>
            <rFont val="Tahoma"/>
            <family val="2"/>
          </rPr>
          <t xml:space="preserve"> is the maximum amount set by the </t>
        </r>
        <r>
          <rPr>
            <b/>
            <sz val="12"/>
            <color rgb="FF000000"/>
            <rFont val="Tahoma"/>
            <family val="2"/>
          </rPr>
          <t>A</t>
        </r>
        <r>
          <rPr>
            <sz val="12"/>
            <color rgb="FF000000"/>
            <rFont val="Tahoma"/>
            <family val="2"/>
          </rPr>
          <t xml:space="preserve">lcohol and </t>
        </r>
        <r>
          <rPr>
            <b/>
            <sz val="12"/>
            <color rgb="FF000000"/>
            <rFont val="Tahoma"/>
            <family val="2"/>
          </rPr>
          <t>T</t>
        </r>
        <r>
          <rPr>
            <sz val="12"/>
            <color rgb="FF000000"/>
            <rFont val="Tahoma"/>
            <family val="2"/>
          </rPr>
          <t xml:space="preserve">obacco </t>
        </r>
        <r>
          <rPr>
            <b/>
            <sz val="12"/>
            <color rgb="FF000000"/>
            <rFont val="Tahoma"/>
            <family val="2"/>
          </rPr>
          <t>T</t>
        </r>
        <r>
          <rPr>
            <sz val="12"/>
            <color rgb="FF000000"/>
            <rFont val="Tahoma"/>
            <family val="2"/>
          </rPr>
          <t xml:space="preserve">ax </t>
        </r>
        <r>
          <rPr>
            <b/>
            <sz val="12"/>
            <color rgb="FF000000"/>
            <rFont val="Tahoma"/>
            <family val="2"/>
          </rPr>
          <t>B</t>
        </r>
        <r>
          <rPr>
            <sz val="12"/>
            <color rgb="FF000000"/>
            <rFont val="Tahoma"/>
            <family val="2"/>
          </rPr>
          <t>ureau.</t>
        </r>
      </text>
    </comment>
    <comment ref="C40" authorId="0">
      <text>
        <r>
          <rPr>
            <sz val="12"/>
            <color rgb="FF000000"/>
            <rFont val="Tahoma"/>
            <family val="2"/>
          </rPr>
          <t>Increase nitrogen sources until YAN total in cell</t>
        </r>
        <r>
          <rPr>
            <b/>
            <sz val="12"/>
            <color rgb="FF000000"/>
            <rFont val="Tahoma"/>
            <family val="2"/>
          </rPr>
          <t xml:space="preserve"> C40</t>
        </r>
        <r>
          <rPr>
            <sz val="12"/>
            <color rgb="FF000000"/>
            <rFont val="Tahoma"/>
            <family val="2"/>
          </rPr>
          <t xml:space="preserve"> equals YAN in cell </t>
        </r>
        <r>
          <rPr>
            <b/>
            <sz val="12"/>
            <color rgb="FF000000"/>
            <rFont val="Tahoma"/>
            <family val="2"/>
          </rPr>
          <t>D30</t>
        </r>
      </text>
    </comment>
    <comment ref="I40" authorId="0">
      <text>
        <r>
          <rPr>
            <b/>
            <sz val="12"/>
            <color rgb="FF000000"/>
            <rFont val="Tahoma"/>
            <family val="2"/>
          </rPr>
          <t xml:space="preserve">   REFERENCE
</t>
        </r>
        <r>
          <rPr>
            <b/>
            <sz val="12"/>
            <color rgb="FF000000"/>
            <rFont val="Arial Black"/>
            <family val="2"/>
          </rPr>
          <t xml:space="preserve">2 </t>
        </r>
        <r>
          <rPr>
            <sz val="12"/>
            <color rgb="FF000000"/>
            <rFont val="Tahoma"/>
            <family val="2"/>
          </rPr>
          <t xml:space="preserve">Patrick Iland OAM et al
  "Techniques and Methods …" (2021).
</t>
        </r>
        <r>
          <rPr>
            <sz val="12"/>
            <color rgb="FF000000"/>
            <rFont val="Arial Black"/>
            <family val="2"/>
          </rPr>
          <t>1</t>
        </r>
        <r>
          <rPr>
            <sz val="12"/>
            <color rgb="FF000000"/>
            <rFont val="Tahoma"/>
            <family val="2"/>
          </rPr>
          <t xml:space="preserve"> Daniel Pambianchi
  "Modern Home Wine Making" (2021).
</t>
        </r>
        <r>
          <rPr>
            <sz val="12"/>
            <color rgb="FF000000"/>
            <rFont val="Arial Black"/>
            <family val="2"/>
          </rPr>
          <t xml:space="preserve">4 </t>
        </r>
        <r>
          <rPr>
            <sz val="12"/>
            <color rgb="FF000000"/>
            <rFont val="Tahoma"/>
            <family val="2"/>
          </rPr>
          <t>Bruce W. Zoecklein et al
  "Wine Analysis and Production" (1999).</t>
        </r>
      </text>
    </comment>
    <comment ref="G44" authorId="0">
      <text>
        <r>
          <rPr>
            <sz val="14"/>
            <color rgb="FF000000"/>
            <rFont val="Arial"/>
            <family val="2"/>
          </rPr>
          <t>Lallemand</t>
        </r>
      </text>
    </comment>
    <comment ref="F45" authorId="0">
      <text>
        <r>
          <rPr>
            <b/>
            <sz val="10"/>
            <color rgb="FF000000"/>
            <rFont val="Tahoma"/>
            <family val="2"/>
          </rPr>
          <t>CORRECTION FOR DRY WINES ONLY
HYDROMETER  CALIBRATION TEMPERATURES ARE:
20 °C and 15.56 °C</t>
        </r>
      </text>
    </comment>
    <comment ref="G45" authorId="0">
      <text>
        <r>
          <rPr>
            <sz val="14"/>
            <color rgb="FF000000"/>
            <rFont val="Arial"/>
            <family val="2"/>
          </rPr>
          <t>Lallemand</t>
        </r>
      </text>
    </comment>
    <comment ref="K45" authorId="0">
      <text>
        <r>
          <rPr>
            <sz val="12"/>
            <color rgb="FF000000"/>
            <rFont val="Arial"/>
            <family val="2"/>
          </rPr>
          <t>IF USING ACID REDUCING YEAST
ENTER PERCENT REDUCTION</t>
        </r>
      </text>
    </comment>
    <comment ref="C46" authorId="0">
      <text>
        <r>
          <rPr>
            <sz val="12"/>
            <color rgb="FF000000"/>
            <rFont val="Tahoma"/>
            <family val="2"/>
          </rPr>
          <t>CELLAR TEMPERATURE</t>
        </r>
      </text>
    </comment>
    <comment ref="G46" authorId="0">
      <text>
        <r>
          <rPr>
            <sz val="14"/>
            <color rgb="FF000000"/>
            <rFont val="Arial"/>
            <family val="2"/>
          </rPr>
          <t>Renaissance</t>
        </r>
      </text>
    </comment>
    <comment ref="K46" authorId="0">
      <text>
        <r>
          <rPr>
            <sz val="12"/>
            <color rgb="FF000000"/>
            <rFont val="Arial"/>
            <family val="2"/>
          </rPr>
          <t>Succinic acid is created during fermentation increasing TA by 0.1 g/L ±</t>
        </r>
        <r>
          <rPr>
            <sz val="11"/>
            <color rgb="FF000000"/>
            <rFont val="Tahoma"/>
            <family val="2"/>
          </rPr>
          <t xml:space="preserve">  per 1% alcohol as Tartaric Acid.</t>
        </r>
      </text>
    </comment>
    <comment ref="G47" authorId="0">
      <text>
        <r>
          <rPr>
            <sz val="12"/>
            <color rgb="FF000000"/>
            <rFont val="Arial"/>
            <family val="2"/>
          </rPr>
          <t>LAFFORT</t>
        </r>
      </text>
    </comment>
    <comment ref="G48" authorId="0">
      <text>
        <r>
          <rPr>
            <sz val="14"/>
            <color rgb="FF000000"/>
            <rFont val="Arial"/>
            <family val="2"/>
          </rPr>
          <t>Enartis</t>
        </r>
      </text>
    </comment>
    <comment ref="G49" authorId="0">
      <text>
        <r>
          <rPr>
            <sz val="14"/>
            <color rgb="FF000000"/>
            <rFont val="Arial"/>
            <family val="2"/>
          </rPr>
          <t>AB Biotek</t>
        </r>
      </text>
    </comment>
    <comment ref="C50" authorId="0">
      <text>
        <r>
          <rPr>
            <b/>
            <sz val="9"/>
            <color rgb="FF000000"/>
            <rFont val="Tahoma"/>
            <family val="2"/>
          </rPr>
          <t xml:space="preserve">  </t>
        </r>
        <r>
          <rPr>
            <b/>
            <sz val="12"/>
            <color rgb="FF000000"/>
            <rFont val="Tahoma"/>
            <family val="2"/>
          </rPr>
          <t xml:space="preserve"> REFERENCE
D.Pambianchi "Modern Home Winemaking"
RED FULL BODIED</t>
        </r>
        <r>
          <rPr>
            <sz val="12"/>
            <color rgb="FF000000"/>
            <rFont val="Tahoma"/>
            <family val="2"/>
          </rPr>
          <t xml:space="preserve">, Bottled in 18 Months:
1ST RACKING:– 100% BINDING.
2ND RACKING:–   50% BINDING.
</t>
        </r>
        <r>
          <rPr>
            <b/>
            <sz val="12"/>
            <color rgb="FF000000"/>
            <rFont val="Tahoma"/>
            <family val="2"/>
          </rPr>
          <t>MEDIUM BODIED RED</t>
        </r>
        <r>
          <rPr>
            <sz val="12"/>
            <color rgb="FF000000"/>
            <rFont val="Tahoma"/>
            <family val="2"/>
          </rPr>
          <t xml:space="preserve">, Bottled in 12 Months:
1ST RACKING:–  50% BINDING.
</t>
        </r>
        <r>
          <rPr>
            <b/>
            <sz val="12"/>
            <color rgb="FF000000"/>
            <rFont val="Tahoma"/>
            <family val="2"/>
          </rPr>
          <t>WHITE FULL BODIED</t>
        </r>
        <r>
          <rPr>
            <sz val="12"/>
            <color rgb="FF000000"/>
            <rFont val="Tahoma"/>
            <family val="2"/>
          </rPr>
          <t>, Bottled in 12 Months:
1ST RACKING:– 10% BINDING.</t>
        </r>
      </text>
    </comment>
    <comment ref="K53" authorId="0">
      <text>
        <r>
          <rPr>
            <b/>
            <sz val="12"/>
            <color rgb="FF000000"/>
            <rFont val="Tahoma"/>
            <family val="2"/>
          </rPr>
          <t xml:space="preserve">   DURING COLD STABILIZATION
–</t>
        </r>
        <r>
          <rPr>
            <sz val="12"/>
            <color rgb="FF000000"/>
            <rFont val="Tahoma"/>
            <family val="2"/>
          </rPr>
          <t xml:space="preserve">When pH is lower than 3.65:
  both TA and pH will DECREASE.
</t>
        </r>
        <r>
          <rPr>
            <sz val="9"/>
            <color rgb="FF000000"/>
            <rFont val="Tahoma"/>
            <family val="2"/>
          </rPr>
          <t>–</t>
        </r>
        <r>
          <rPr>
            <sz val="12"/>
            <color rgb="FF000000"/>
            <rFont val="Tahoma"/>
            <family val="2"/>
          </rPr>
          <t>When pH is greater than 3.65:
  TA will DECREASE BUT pH will INCREASE.
This process is controlled by potassium and bitartrate concentrations.</t>
        </r>
      </text>
    </comment>
    <comment ref="G55" authorId="0">
      <text>
        <r>
          <rPr>
            <sz val="12"/>
            <color rgb="FF000000"/>
            <rFont val="Tahoma"/>
            <family val="2"/>
          </rPr>
          <t>1 Lb/1000 US Gal = 120 mg/L = 0.120 g/L</t>
        </r>
      </text>
    </comment>
    <comment ref="H61" authorId="0">
      <text>
        <r>
          <rPr>
            <sz val="12"/>
            <color rgb="FF000000"/>
            <rFont val="Tahoma"/>
            <family val="2"/>
          </rPr>
          <t>Dose not account for alcohol / water contraction.</t>
        </r>
      </text>
    </comment>
    <comment ref="C62" authorId="0">
      <text>
        <r>
          <rPr>
            <sz val="12"/>
            <color rgb="FF000000"/>
            <rFont val="Tahoma"/>
            <family val="2"/>
          </rPr>
          <t>USDA 2011 TECHNICAL PROCEDURES MANUAL</t>
        </r>
      </text>
    </comment>
    <comment ref="H63" authorId="0">
      <text>
        <r>
          <rPr>
            <sz val="12"/>
            <color rgb="FF000000"/>
            <rFont val="Tahoma"/>
            <family val="2"/>
          </rPr>
          <t>CONCENTRATION OF WINE TO BLENDED WITH WINE B</t>
        </r>
      </text>
    </comment>
    <comment ref="J63" authorId="0">
      <text>
        <r>
          <rPr>
            <sz val="12"/>
            <color rgb="FF000000"/>
            <rFont val="Tahoma"/>
            <family val="2"/>
          </rPr>
          <t>PARTS OF WINE A TO BE USED TO ADJUST WINE B</t>
        </r>
      </text>
    </comment>
    <comment ref="K63" authorId="0">
      <text>
        <r>
          <rPr>
            <sz val="12"/>
            <color rgb="FF000000"/>
            <rFont val="Tahoma"/>
            <family val="2"/>
          </rPr>
          <t>VOLUME OF WINE A  BLENDED WITH WINE B</t>
        </r>
      </text>
    </comment>
    <comment ref="I64" authorId="0">
      <text>
        <r>
          <rPr>
            <sz val="12"/>
            <color rgb="FF000000"/>
            <rFont val="Tahoma"/>
            <family val="2"/>
          </rPr>
          <t>BLENDED VALUE</t>
        </r>
      </text>
    </comment>
    <comment ref="H65" authorId="0">
      <text>
        <r>
          <rPr>
            <sz val="12"/>
            <color rgb="FF000000"/>
            <rFont val="Tahoma"/>
            <family val="2"/>
          </rPr>
          <t>%ABV OF  SPIRITS</t>
        </r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J65" authorId="0">
      <text>
        <r>
          <rPr>
            <sz val="12"/>
            <color rgb="FF000000"/>
            <rFont val="Tahoma"/>
            <family val="2"/>
          </rPr>
          <t>PARTS OF WINE B TO BE ADJUSTED</t>
        </r>
      </text>
    </comment>
    <comment ref="K65" authorId="0">
      <text>
        <r>
          <rPr>
            <sz val="12"/>
            <color rgb="FF000000"/>
            <rFont val="Tahoma"/>
            <family val="2"/>
          </rPr>
          <t>VOLUME OF WINE B IN BLEND</t>
        </r>
      </text>
    </comment>
    <comment ref="I68" authorId="0">
      <text>
        <r>
          <rPr>
            <b/>
            <sz val="12"/>
            <color rgb="FF000000"/>
            <rFont val="Tahoma"/>
            <family val="2"/>
          </rPr>
          <t xml:space="preserve">   REFERENCE
</t>
        </r>
        <r>
          <rPr>
            <sz val="12"/>
            <color rgb="FF000000"/>
            <rFont val="Tahoma"/>
            <family val="2"/>
          </rPr>
          <t xml:space="preserve">DR. W. Honneyman, B.Sc., Ph.D. (1966)
</t>
        </r>
        <r>
          <rPr>
            <sz val="12"/>
            <color rgb="FF000000"/>
            <rFont val="Arial Black"/>
            <family val="2"/>
          </rPr>
          <t>7</t>
        </r>
        <r>
          <rPr>
            <b/>
            <sz val="12"/>
            <color rgb="FF000000"/>
            <rFont val="Tahoma"/>
            <family val="2"/>
          </rPr>
          <t xml:space="preserve">  </t>
        </r>
        <r>
          <rPr>
            <sz val="12"/>
            <color rgb="FF000000"/>
            <rFont val="Tahoma"/>
            <family val="2"/>
          </rPr>
          <t xml:space="preserve">"Progressive Winemaking" 
     P.M. Duncan &amp; G.W.B. Acton (1972)
</t>
        </r>
        <r>
          <rPr>
            <sz val="12"/>
            <color rgb="FF000000"/>
            <rFont val="Arial Black"/>
            <family val="2"/>
          </rPr>
          <t>8</t>
        </r>
        <r>
          <rPr>
            <sz val="12"/>
            <color rgb="FF000000"/>
            <rFont val="Tahoma"/>
            <family val="2"/>
          </rPr>
          <t xml:space="preserve">  "Scientific Winemaking made easy" 
     J.R. Mitchell L.R.I.C., A.I.F.S.T.1971)</t>
        </r>
      </text>
    </comment>
    <comment ref="A69" authorId="0">
      <text>
        <r>
          <rPr>
            <b/>
            <sz val="12"/>
            <color rgb="FF000000"/>
            <rFont val="Tahoma"/>
            <family val="2"/>
          </rPr>
          <t xml:space="preserve">   REFERENCE
</t>
        </r>
        <r>
          <rPr>
            <sz val="12"/>
            <color rgb="FF000000"/>
            <rFont val="Tahoma"/>
            <family val="2"/>
          </rPr>
          <t>DR. W. Honneyman, B.Sc., Ph.D</t>
        </r>
        <r>
          <rPr>
            <sz val="9"/>
            <color rgb="FF000000"/>
            <rFont val="Tahoma"/>
            <family val="2"/>
          </rPr>
          <t>.</t>
        </r>
      </text>
    </comment>
    <comment ref="E70" authorId="0">
      <text>
        <r>
          <rPr>
            <b/>
            <sz val="12"/>
            <color rgb="FF000000"/>
            <rFont val="Tahoma"/>
            <family val="2"/>
          </rPr>
          <t xml:space="preserve">   REFERENCE
</t>
        </r>
        <r>
          <rPr>
            <b/>
            <sz val="12"/>
            <color rgb="FF000000"/>
            <rFont val="Arial Black"/>
            <family val="2"/>
          </rPr>
          <t xml:space="preserve">1 </t>
        </r>
        <r>
          <rPr>
            <sz val="12"/>
            <color rgb="FF000000"/>
            <rFont val="Tahoma"/>
            <family val="2"/>
          </rPr>
          <t>Rheinland Pfalz
Dienstleistungzentrum Landlicher Raum Mosel.</t>
        </r>
        <r>
          <rPr>
            <b/>
            <sz val="12"/>
            <color rgb="FF000000"/>
            <rFont val="Tahoma"/>
            <family val="2"/>
          </rPr>
          <t xml:space="preserve"> 
"</t>
        </r>
        <r>
          <rPr>
            <sz val="12"/>
            <color rgb="FF000000"/>
            <rFont val="Tahoma"/>
            <family val="2"/>
          </rPr>
          <t>Praxisleitfaden Oenologie 2023" 
12.4 pg. 73–74</t>
        </r>
      </text>
    </comment>
    <comment ref="I72" authorId="0">
      <text>
        <r>
          <rPr>
            <b/>
            <sz val="12"/>
            <color rgb="FF000000"/>
            <rFont val="Tahoma"/>
            <family val="2"/>
          </rPr>
          <t>D</t>
        </r>
        <r>
          <rPr>
            <sz val="12"/>
            <color rgb="FF000000"/>
            <rFont val="Tahoma"/>
            <family val="2"/>
          </rPr>
          <t xml:space="preserve">issolved </t>
        </r>
        <r>
          <rPr>
            <b/>
            <sz val="12"/>
            <color rgb="FF000000"/>
            <rFont val="Tahoma"/>
            <family val="2"/>
          </rPr>
          <t>S</t>
        </r>
        <r>
          <rPr>
            <sz val="12"/>
            <color rgb="FF000000"/>
            <rFont val="Tahoma"/>
            <family val="2"/>
          </rPr>
          <t xml:space="preserve">olid </t>
        </r>
        <r>
          <rPr>
            <b/>
            <sz val="12"/>
            <color rgb="FF000000"/>
            <rFont val="Tahoma"/>
            <family val="2"/>
          </rPr>
          <t>O</t>
        </r>
        <r>
          <rPr>
            <sz val="12"/>
            <color rgb="FF000000"/>
            <rFont val="Tahoma"/>
            <family val="2"/>
          </rPr>
          <t xml:space="preserve">ther that Fermentable </t>
        </r>
        <r>
          <rPr>
            <b/>
            <sz val="12"/>
            <color rgb="FF000000"/>
            <rFont val="Tahoma"/>
            <family val="2"/>
          </rPr>
          <t>S</t>
        </r>
        <r>
          <rPr>
            <sz val="12"/>
            <color rgb="FF000000"/>
            <rFont val="Tahoma"/>
            <family val="2"/>
          </rPr>
          <t xml:space="preserve">ugars.
   </t>
        </r>
        <r>
          <rPr>
            <b/>
            <sz val="12"/>
            <color rgb="FF000000"/>
            <rFont val="Tahoma"/>
            <family val="2"/>
          </rPr>
          <t>0.005—0.010</t>
        </r>
      </text>
    </comment>
    <comment ref="I74" authorId="0">
      <text>
        <r>
          <rPr>
            <b/>
            <sz val="9"/>
            <color rgb="FF000000"/>
            <rFont val="Tahoma"/>
            <family val="2"/>
          </rPr>
          <t xml:space="preserve">  </t>
        </r>
        <r>
          <rPr>
            <b/>
            <sz val="12"/>
            <color rgb="FF000000"/>
            <rFont val="Tahoma"/>
            <family val="2"/>
          </rPr>
          <t xml:space="preserve">REFERENCE
</t>
        </r>
        <r>
          <rPr>
            <sz val="12"/>
            <color rgb="FF000000"/>
            <rFont val="Tahoma"/>
            <family val="2"/>
          </rPr>
          <t>F.Rogerson, &amp; C.Symington  (2006)</t>
        </r>
      </text>
    </comment>
    <comment ref="E75" authorId="0">
      <text>
        <r>
          <rPr>
            <b/>
            <sz val="12"/>
            <color rgb="FF000000"/>
            <rFont val="Tahoma"/>
            <family val="2"/>
          </rPr>
          <t xml:space="preserve">   REFERENCE
</t>
        </r>
        <r>
          <rPr>
            <b/>
            <sz val="12"/>
            <color rgb="FF000000"/>
            <rFont val="Arial Black"/>
            <family val="2"/>
          </rPr>
          <t xml:space="preserve">1 </t>
        </r>
        <r>
          <rPr>
            <sz val="12"/>
            <color rgb="FF000000"/>
            <rFont val="Tahoma"/>
            <family val="2"/>
          </rPr>
          <t>D. Pambianchi "Modern Home winemaking" (2021) pg. 199</t>
        </r>
      </text>
    </comment>
    <comment ref="A78" authorId="0">
      <text>
        <r>
          <rPr>
            <b/>
            <sz val="12"/>
            <color rgb="FF000000"/>
            <rFont val="Tahoma"/>
            <family val="2"/>
          </rPr>
          <t xml:space="preserve">REFERENCE:—
</t>
        </r>
        <r>
          <rPr>
            <b/>
            <sz val="12"/>
            <color rgb="FF000000"/>
            <rFont val="Arial Black"/>
            <family val="2"/>
          </rPr>
          <t xml:space="preserve">14 </t>
        </r>
        <r>
          <rPr>
            <sz val="12"/>
            <color rgb="FF000000"/>
            <rFont val="Tahoma"/>
            <family val="2"/>
          </rPr>
          <t>TTB Table 6.
  (National Bureau of Standards Bulletin of Standards, Vol. 9, No. 3, pages 327–474,
Oct. 15, 1913)</t>
        </r>
      </text>
    </comment>
    <comment ref="C79" authorId="0">
      <text>
        <r>
          <rPr>
            <b/>
            <sz val="12"/>
            <color rgb="FF000000"/>
            <rFont val="Tahoma"/>
            <family val="2"/>
          </rPr>
          <t xml:space="preserve">VOLUMES
</t>
        </r>
        <r>
          <rPr>
            <sz val="12"/>
            <color rgb="FF000000"/>
            <rFont val="Tahoma"/>
            <family val="2"/>
          </rPr>
          <t>AT 15.55°c / 15.56°C (60°F)</t>
        </r>
      </text>
    </comment>
    <comment ref="C82" authorId="0">
      <text>
        <r>
          <rPr>
            <b/>
            <sz val="12"/>
            <color rgb="FF000000"/>
            <rFont val="Tahoma"/>
            <family val="2"/>
          </rPr>
          <t>VOLUME ADDED TO UNCUT DISTALLATE</t>
        </r>
      </text>
    </comment>
    <comment ref="C83" authorId="0">
      <text>
        <r>
          <rPr>
            <b/>
            <sz val="12"/>
            <color rgb="FF000000"/>
            <rFont val="Tahoma"/>
            <family val="2"/>
          </rPr>
          <t xml:space="preserve">Reference: IUPAC
15 </t>
        </r>
        <r>
          <rPr>
            <sz val="12"/>
            <color rgb="FF000000"/>
            <rFont val="Tahoma"/>
            <family val="2"/>
          </rPr>
          <t xml:space="preserve">International Union of Pure and Applied Chemistry
–Applied chemistry Division Fermentation Industries Section, 1966
</t>
        </r>
        <r>
          <rPr>
            <b/>
            <sz val="12"/>
            <color rgb="FF000000"/>
            <rFont val="Tahoma"/>
            <family val="2"/>
          </rPr>
          <t>20°C/20°C</t>
        </r>
      </text>
    </comment>
    <comment ref="I83" authorId="0">
      <text>
        <r>
          <rPr>
            <b/>
            <sz val="12"/>
            <color rgb="FF000000"/>
            <rFont val="Tahoma"/>
            <family val="2"/>
          </rPr>
          <t xml:space="preserve">POTASSIUM SORBATE
</t>
        </r>
        <r>
          <rPr>
            <sz val="12"/>
            <color rgb="FF000000"/>
            <rFont val="Tahoma"/>
            <family val="2"/>
          </rPr>
          <t xml:space="preserve">SENSORY THRESHOLD IS 0.180 g/L
</t>
        </r>
        <r>
          <rPr>
            <b/>
            <sz val="12"/>
            <color rgb="FF000000"/>
            <rFont val="Tahoma"/>
            <family val="2"/>
          </rPr>
          <t>O.I.V. LIMIT</t>
        </r>
        <r>
          <rPr>
            <sz val="12"/>
            <color rgb="FF000000"/>
            <rFont val="Tahoma"/>
            <family val="2"/>
          </rPr>
          <t xml:space="preserve"> IS 0.268 g/L
</t>
        </r>
        <r>
          <rPr>
            <b/>
            <sz val="12"/>
            <color rgb="FF000000"/>
            <rFont val="Tahoma"/>
            <family val="2"/>
          </rPr>
          <t>TTB LIMIT</t>
        </r>
        <r>
          <rPr>
            <sz val="12"/>
            <color rgb="FF000000"/>
            <rFont val="Tahoma"/>
            <family val="2"/>
          </rPr>
          <t xml:space="preserve"> IS 0.200 g/L
</t>
        </r>
        <r>
          <rPr>
            <b/>
            <sz val="12"/>
            <color rgb="FF000000"/>
            <rFont val="Tahoma"/>
            <family val="2"/>
          </rPr>
          <t>DO NOT USE AFTER ML FERMENT</t>
        </r>
        <r>
          <rPr>
            <sz val="12"/>
            <color rgb="FF000000"/>
            <rFont val="Tahoma"/>
            <family val="2"/>
          </rPr>
          <t xml:space="preserve">
</t>
        </r>
        <r>
          <rPr>
            <b/>
            <sz val="12"/>
            <color rgb="FF000000"/>
            <rFont val="Tahoma"/>
            <family val="2"/>
          </rPr>
          <t>MAINTAIN FSO2 &gt; 30 PPM</t>
        </r>
      </text>
    </comment>
    <comment ref="J83" authorId="1">
      <text>
        <r>
          <rPr>
            <b/>
            <sz val="12"/>
            <color indexed="81"/>
            <rFont val="Tahoma"/>
            <family val="2"/>
          </rPr>
          <t>ABOVE PH 3.5 SORBATE RATE IS INCREASED.
ADDITION TOPS OUT AT 0.200 g/L</t>
        </r>
      </text>
    </comment>
    <comment ref="C85" authorId="0">
      <text>
        <r>
          <rPr>
            <b/>
            <sz val="12"/>
            <color rgb="FF000000"/>
            <rFont val="Tahoma"/>
            <family val="2"/>
          </rPr>
          <t>Edit</t>
        </r>
        <r>
          <rPr>
            <sz val="12"/>
            <color rgb="FF000000"/>
            <rFont val="Tahoma"/>
            <family val="2"/>
          </rPr>
          <t xml:space="preserve"> USE column to your dosage.</t>
        </r>
      </text>
    </comment>
    <comment ref="J85" authorId="0">
      <text>
        <r>
          <rPr>
            <b/>
            <sz val="12"/>
            <color rgb="FF000000"/>
            <rFont val="Tahoma"/>
            <family val="2"/>
          </rPr>
          <t>Edit</t>
        </r>
        <r>
          <rPr>
            <sz val="12"/>
            <color rgb="FF000000"/>
            <rFont val="Tahoma"/>
            <family val="2"/>
          </rPr>
          <t xml:space="preserve"> USE column to your dosage.</t>
        </r>
      </text>
    </comment>
    <comment ref="B86" authorId="0">
      <text>
        <r>
          <rPr>
            <sz val="12"/>
            <color rgb="FF000000"/>
            <rFont val="Tahoma"/>
            <family val="2"/>
          </rPr>
          <t>At pH 3.5 and Molecular 0.65 :– 0.023 g/Lb yields 45 ppm Free SO</t>
        </r>
        <r>
          <rPr>
            <vertAlign val="subscript"/>
            <sz val="12"/>
            <color rgb="FF000000"/>
            <rFont val="Tahoma"/>
            <family val="2"/>
          </rPr>
          <t xml:space="preserve">2 </t>
        </r>
      </text>
    </comment>
    <comment ref="A87" authorId="0">
      <text>
        <r>
          <rPr>
            <b/>
            <sz val="12"/>
            <color rgb="FF000000"/>
            <rFont val="Tahoma"/>
            <family val="2"/>
          </rPr>
          <t xml:space="preserve">    ENZYME
</t>
        </r>
        <r>
          <rPr>
            <sz val="12"/>
            <color rgb="FF000000"/>
            <rFont val="Tahoma"/>
            <family val="2"/>
          </rPr>
          <t>Dosage on weight of must.</t>
        </r>
      </text>
    </comment>
    <comment ref="G87" authorId="0">
      <text>
        <r>
          <rPr>
            <sz val="12"/>
            <color rgb="FF000000"/>
            <rFont val="Tahoma"/>
            <family val="2"/>
          </rPr>
          <t xml:space="preserve">   </t>
        </r>
        <r>
          <rPr>
            <b/>
            <sz val="12"/>
            <color rgb="FF000000"/>
            <rFont val="Tahoma"/>
            <family val="2"/>
          </rPr>
          <t xml:space="preserve">ENZYME
</t>
        </r>
        <r>
          <rPr>
            <sz val="12"/>
            <color rgb="FF000000"/>
            <rFont val="Tahoma"/>
            <family val="2"/>
          </rPr>
          <t>Dosage based on weight of must.</t>
        </r>
      </text>
    </comment>
    <comment ref="A88" authorId="0">
      <text>
        <r>
          <rPr>
            <b/>
            <sz val="12"/>
            <color rgb="FF000000"/>
            <rFont val="Tahoma"/>
            <family val="2"/>
          </rPr>
          <t xml:space="preserve">   ENZYME
</t>
        </r>
        <r>
          <rPr>
            <sz val="12"/>
            <color rgb="FF000000"/>
            <rFont val="Tahoma"/>
            <family val="2"/>
          </rPr>
          <t>Dosage on must weight.</t>
        </r>
      </text>
    </comment>
    <comment ref="A89" authorId="0">
      <text>
        <r>
          <rPr>
            <b/>
            <sz val="12"/>
            <color rgb="FF000000"/>
            <rFont val="Tahoma"/>
            <family val="2"/>
          </rPr>
          <t xml:space="preserve">   ENZYME
</t>
        </r>
        <r>
          <rPr>
            <sz val="12"/>
            <color rgb="FF000000"/>
            <rFont val="Tahoma"/>
            <family val="2"/>
          </rPr>
          <t>Based on must weight. 3—12 HRS
Dilution 1:10</t>
        </r>
      </text>
    </comment>
    <comment ref="G89" authorId="0">
      <text>
        <r>
          <rPr>
            <b/>
            <sz val="12"/>
            <color rgb="FF000000"/>
            <rFont val="Tahoma"/>
            <family val="2"/>
          </rPr>
          <t xml:space="preserve">   TANNIN
</t>
        </r>
        <r>
          <rPr>
            <sz val="12"/>
            <color rgb="FF000000"/>
            <rFont val="Tahoma"/>
            <family val="2"/>
          </rPr>
          <t>Dosage on MUST volume.</t>
        </r>
      </text>
    </comment>
    <comment ref="A90" authorId="0">
      <text>
        <r>
          <rPr>
            <b/>
            <sz val="12"/>
            <color rgb="FF000000"/>
            <rFont val="Tahoma"/>
            <family val="2"/>
          </rPr>
          <t xml:space="preserve">    Gentle Pectinase
</t>
        </r>
        <r>
          <rPr>
            <sz val="12"/>
            <color rgb="FF000000"/>
            <rFont val="Tahoma"/>
            <family val="2"/>
          </rPr>
          <t>for low solid content juice. 
    Increases yield.
Not for high pectin juice.
3 days at 15°C
4—7 days at -1—15°C</t>
        </r>
      </text>
    </comment>
    <comment ref="G90" authorId="0">
      <text>
        <r>
          <rPr>
            <b/>
            <sz val="12"/>
            <color rgb="FF000000"/>
            <rFont val="Tahoma"/>
            <family val="2"/>
          </rPr>
          <t xml:space="preserve">Gall Nut TANNIN
</t>
        </r>
        <r>
          <rPr>
            <sz val="12"/>
            <color rgb="FF000000"/>
            <rFont val="Tahoma"/>
            <family val="2"/>
          </rPr>
          <t>Dosage based on must volume.
Add directly at crusher.</t>
        </r>
      </text>
    </comment>
    <comment ref="A91" authorId="0">
      <text>
        <r>
          <rPr>
            <b/>
            <sz val="12"/>
            <color rgb="FF000000"/>
            <rFont val="Tahoma"/>
            <family val="2"/>
          </rPr>
          <t xml:space="preserve">   TANNIN
</t>
        </r>
        <r>
          <rPr>
            <sz val="12"/>
            <color rgb="FF000000"/>
            <rFont val="Tahoma"/>
            <family val="2"/>
          </rPr>
          <t>Dosage on must volume.
Add directly at crusher</t>
        </r>
      </text>
    </comment>
    <comment ref="G91" authorId="0">
      <text>
        <r>
          <rPr>
            <b/>
            <sz val="12"/>
            <color rgb="FF000000"/>
            <rFont val="Tahoma"/>
            <family val="2"/>
          </rPr>
          <t>American Oak—Light toast</t>
        </r>
      </text>
    </comment>
    <comment ref="A92" authorId="0">
      <text>
        <r>
          <rPr>
            <sz val="12"/>
            <color rgb="FF000000"/>
            <rFont val="Tahoma"/>
            <family val="2"/>
          </rPr>
          <t>Dosage on must volume.
Dilution: 1:10 Must or Water</t>
        </r>
      </text>
    </comment>
    <comment ref="G92" authorId="0">
      <text>
        <r>
          <rPr>
            <b/>
            <sz val="12"/>
            <color rgb="FF000000"/>
            <rFont val="Tahoma"/>
            <family val="2"/>
          </rPr>
          <t xml:space="preserve">Specific Inactivated Yeast
</t>
        </r>
        <r>
          <rPr>
            <sz val="12"/>
            <color rgb="FF000000"/>
            <rFont val="Tahoma"/>
            <family val="2"/>
          </rPr>
          <t>For better body and varietal aroma with less vegetal character.</t>
        </r>
      </text>
    </comment>
    <comment ref="A93" authorId="0">
      <text>
        <r>
          <rPr>
            <sz val="12"/>
            <color rgb="FF000000"/>
            <rFont val="Tahoma"/>
            <family val="2"/>
          </rPr>
          <t>Dosage based on must volume.
Dilution: 1:10 in Must or Water</t>
        </r>
      </text>
    </comment>
    <comment ref="G93" authorId="0">
      <text>
        <r>
          <rPr>
            <b/>
            <sz val="12"/>
            <color rgb="FF000000"/>
            <rFont val="Tahoma"/>
            <family val="2"/>
          </rPr>
          <t xml:space="preserve">   -VE FINING
</t>
        </r>
        <r>
          <rPr>
            <sz val="12"/>
            <color rgb="FF000000"/>
            <rFont val="Tahoma"/>
            <family val="2"/>
          </rPr>
          <t xml:space="preserve">Light treatment   0.25 g/L
Moderate           0.50 g/L
Heavy                1—2 g/L
</t>
        </r>
        <r>
          <rPr>
            <b/>
            <sz val="12"/>
            <color rgb="FF000000"/>
            <rFont val="Tahoma"/>
            <family val="2"/>
          </rPr>
          <t>&gt; 1 g/L</t>
        </r>
        <r>
          <rPr>
            <sz val="12"/>
            <color rgb="FF000000"/>
            <rFont val="Tahoma"/>
            <family val="2"/>
          </rPr>
          <t xml:space="preserve"> can begin t  strip colour, aroma and other sensory attributes.
</t>
        </r>
        <r>
          <rPr>
            <b/>
            <sz val="12"/>
            <color rgb="FF000000"/>
            <rFont val="Tahoma"/>
            <family val="2"/>
          </rPr>
          <t>Boil and soak over night.</t>
        </r>
      </text>
    </comment>
    <comment ref="A94" authorId="0">
      <text>
        <r>
          <rPr>
            <sz val="12"/>
            <color rgb="FF000000"/>
            <rFont val="Tahoma"/>
            <family val="2"/>
          </rPr>
          <t>Dilute; 1:10 in Juice or Water
Add 1st 24 fours best results.</t>
        </r>
      </text>
    </comment>
    <comment ref="G94" authorId="0">
      <text>
        <r>
          <rPr>
            <sz val="12"/>
            <color rgb="FF000000"/>
            <rFont val="Tahoma"/>
            <family val="2"/>
          </rPr>
          <t xml:space="preserve">  </t>
        </r>
        <r>
          <rPr>
            <b/>
            <sz val="12"/>
            <color rgb="FF000000"/>
            <rFont val="Tahoma"/>
            <family val="2"/>
          </rPr>
          <t xml:space="preserve"> -Ve FINING
</t>
        </r>
        <r>
          <rPr>
            <sz val="12"/>
            <color rgb="FF000000"/>
            <rFont val="Tahoma"/>
            <family val="2"/>
          </rPr>
          <t xml:space="preserve">Calcium Bentonite for pH &lt;3.5  Presoaking not required. </t>
        </r>
      </text>
    </comment>
    <comment ref="A95" authorId="0">
      <text>
        <r>
          <rPr>
            <b/>
            <sz val="12"/>
            <color rgb="FF000000"/>
            <rFont val="Tahoma"/>
            <family val="2"/>
          </rPr>
          <t xml:space="preserve">     REHYDRATION NUTRIENT
</t>
        </r>
        <r>
          <rPr>
            <sz val="12"/>
            <color rgb="FF000000"/>
            <rFont val="Tahoma"/>
            <family val="2"/>
          </rPr>
          <t xml:space="preserve">Acti-ML into 5 times its weight in 25°C chlorine free water. 
</t>
        </r>
        <r>
          <rPr>
            <b/>
            <sz val="12"/>
            <color rgb="FF000000"/>
            <rFont val="Tahoma"/>
            <family val="2"/>
          </rPr>
          <t>Wait</t>
        </r>
        <r>
          <rPr>
            <sz val="12"/>
            <color rgb="FF000000"/>
            <rFont val="Tahoma"/>
            <family val="2"/>
          </rPr>
          <t xml:space="preserve"> 15 minutes before adding to must.</t>
        </r>
      </text>
    </comment>
    <comment ref="B95" authorId="0">
      <text>
        <r>
          <rPr>
            <b/>
            <sz val="12"/>
            <color rgb="FF000000"/>
            <rFont val="Tahoma"/>
            <family val="2"/>
          </rPr>
          <t>GRAMS LACTIC BACTERIA</t>
        </r>
      </text>
    </comment>
    <comment ref="D95" authorId="0">
      <text>
        <r>
          <rPr>
            <b/>
            <sz val="12"/>
            <color rgb="FF000000"/>
            <rFont val="Tahoma"/>
            <family val="2"/>
          </rPr>
          <t>GRAMS Acti–ML</t>
        </r>
      </text>
    </comment>
    <comment ref="G95" authorId="0">
      <text>
        <r>
          <rPr>
            <sz val="12"/>
            <color rgb="FF000000"/>
            <rFont val="Tahoma"/>
            <family val="2"/>
          </rPr>
          <t xml:space="preserve">   </t>
        </r>
        <r>
          <rPr>
            <b/>
            <sz val="12"/>
            <color rgb="FF000000"/>
            <rFont val="Tahoma"/>
            <family val="2"/>
          </rPr>
          <t xml:space="preserve"> -Ve FINING
</t>
        </r>
        <r>
          <rPr>
            <sz val="12"/>
            <color rgb="FF000000"/>
            <rFont val="Tahoma"/>
            <family val="2"/>
          </rPr>
          <t>Calcium—Sodium Bentonite for pH &gt;3.5 Presoaking not required.</t>
        </r>
      </text>
    </comment>
    <comment ref="A96" authorId="0">
      <text>
        <r>
          <rPr>
            <sz val="12"/>
            <color rgb="FF000000"/>
            <rFont val="Tahoma"/>
            <family val="2"/>
          </rPr>
          <t xml:space="preserve">    </t>
        </r>
        <r>
          <rPr>
            <b/>
            <sz val="12"/>
            <color rgb="FF000000"/>
            <rFont val="Tahoma"/>
            <family val="2"/>
          </rPr>
          <t xml:space="preserve">NUTRIENT
</t>
        </r>
        <r>
          <rPr>
            <sz val="12"/>
            <color rgb="FF000000"/>
            <rFont val="Tahoma"/>
            <family val="2"/>
          </rPr>
          <t xml:space="preserve">Suspend in a small amount of water and add directly to must before adding ML bacteria. </t>
        </r>
        <r>
          <rPr>
            <b/>
            <sz val="12"/>
            <color rgb="FF000000"/>
            <rFont val="Tahoma"/>
            <family val="2"/>
          </rPr>
          <t>Do Not</t>
        </r>
        <r>
          <rPr>
            <sz val="12"/>
            <color rgb="FF000000"/>
            <rFont val="Tahoma"/>
            <family val="2"/>
          </rPr>
          <t xml:space="preserve"> add to rehydration water.</t>
        </r>
      </text>
    </comment>
    <comment ref="G96" authorId="0">
      <text>
        <r>
          <rPr>
            <sz val="12"/>
            <color rgb="FF000000"/>
            <rFont val="Tahoma"/>
            <family val="2"/>
          </rPr>
          <t xml:space="preserve">    </t>
        </r>
        <r>
          <rPr>
            <b/>
            <sz val="12"/>
            <color rgb="FF000000"/>
            <rFont val="Tahoma"/>
            <family val="2"/>
          </rPr>
          <t>+Ve FINING</t>
        </r>
        <r>
          <rPr>
            <sz val="12"/>
            <color rgb="FF000000"/>
            <rFont val="Tahoma"/>
            <family val="2"/>
          </rPr>
          <t xml:space="preserve"> 
Hot Mix for wine. Boil for 15 min in 250 mL water. Add warm.
Wait at least a month before racking.</t>
        </r>
      </text>
    </comment>
    <comment ref="A97" authorId="0">
      <text>
        <r>
          <rPr>
            <sz val="12"/>
            <color rgb="FF000000"/>
            <rFont val="Tahoma"/>
            <family val="2"/>
          </rPr>
          <t>Increase roundness, Reduce aggressive sensation of dryness, burning sensation due to high alcohol.</t>
        </r>
      </text>
    </comment>
    <comment ref="G97" authorId="0">
      <text>
        <r>
          <rPr>
            <b/>
            <sz val="12"/>
            <color rgb="FF000000"/>
            <rFont val="Tahoma"/>
            <family val="2"/>
          </rPr>
          <t xml:space="preserve">   +Ve FINING
</t>
        </r>
        <r>
          <rPr>
            <sz val="12"/>
            <color rgb="FF000000"/>
            <rFont val="Tahoma"/>
            <family val="2"/>
          </rPr>
          <t>Gelatin
Dilute 1;1 in Water</t>
        </r>
      </text>
    </comment>
    <comment ref="A98" authorId="0">
      <text>
        <r>
          <rPr>
            <sz val="12"/>
            <color rgb="FF000000"/>
            <rFont val="Tahoma"/>
            <family val="2"/>
          </rPr>
          <t>3—5 days then rack or Filter. Reduces sulfur defects. Max. copper contribution is 0.02 ppm</t>
        </r>
      </text>
    </comment>
    <comment ref="G98" authorId="0">
      <text>
        <r>
          <rPr>
            <sz val="12"/>
            <color rgb="FF000000"/>
            <rFont val="Tahoma"/>
            <family val="2"/>
          </rPr>
          <t xml:space="preserve">   </t>
        </r>
        <r>
          <rPr>
            <b/>
            <sz val="12"/>
            <color rgb="FF000000"/>
            <rFont val="Tahoma"/>
            <family val="2"/>
          </rPr>
          <t xml:space="preserve"> +Ve  FINING
</t>
        </r>
        <r>
          <rPr>
            <sz val="12"/>
            <color rgb="FF000000"/>
            <rFont val="Tahoma"/>
            <family val="2"/>
          </rPr>
          <t xml:space="preserve">Silica suspension
Use 1 hour after Gelatin 1:1 ratio </t>
        </r>
      </text>
    </comment>
    <comment ref="A99" authorId="0">
      <text>
        <r>
          <rPr>
            <b/>
            <sz val="12"/>
            <color rgb="FF000000"/>
            <rFont val="Tahoma"/>
            <family val="2"/>
          </rPr>
          <t>Hydrogen Sulfide remover</t>
        </r>
        <r>
          <rPr>
            <sz val="12"/>
            <color rgb="FF000000"/>
            <rFont val="Tahoma"/>
            <family val="2"/>
          </rPr>
          <t>,</t>
        </r>
        <r>
          <rPr>
            <b/>
            <sz val="12"/>
            <color rgb="FF000000"/>
            <rFont val="Tahoma"/>
            <family val="2"/>
          </rPr>
          <t xml:space="preserve"> </t>
        </r>
        <r>
          <rPr>
            <sz val="12"/>
            <color rgb="FF000000"/>
            <rFont val="Tahoma"/>
            <family val="2"/>
          </rPr>
          <t>contains 2% copper citrate</t>
        </r>
      </text>
    </comment>
    <comment ref="G99" authorId="0">
      <text>
        <r>
          <rPr>
            <b/>
            <sz val="12"/>
            <color rgb="FF000000"/>
            <rFont val="Tahoma"/>
            <family val="2"/>
          </rPr>
          <t xml:space="preserve">   STABILIZATION
</t>
        </r>
        <r>
          <rPr>
            <sz val="12"/>
            <color rgb="FF000000"/>
            <rFont val="Tahoma"/>
            <family val="2"/>
          </rPr>
          <t>Dilution: 1:5 in Lukewarm Water.
Wait 45 minutes.
ATTB limit is 0.5 g/L</t>
        </r>
      </text>
    </comment>
    <comment ref="A100" authorId="0">
      <text>
        <r>
          <rPr>
            <sz val="12"/>
            <color rgb="FF000000"/>
            <rFont val="Tahoma"/>
            <family val="2"/>
          </rPr>
          <t xml:space="preserve">      </t>
        </r>
        <r>
          <rPr>
            <b/>
            <sz val="12"/>
            <color rgb="FF000000"/>
            <rFont val="Tahoma"/>
            <family val="2"/>
          </rPr>
          <t xml:space="preserve">+Ve FINING 
</t>
        </r>
        <r>
          <rPr>
            <sz val="12"/>
            <color rgb="FF000000"/>
            <rFont val="Tahoma"/>
            <family val="2"/>
          </rPr>
          <t>Isinglass and citric acid stabilized with potassium metabisulfite. Soak for 3 hrs in (15—20°c) water.</t>
        </r>
      </text>
    </comment>
    <comment ref="G100" authorId="0">
      <text>
        <r>
          <rPr>
            <sz val="12"/>
            <color rgb="FF000000"/>
            <rFont val="Tahoma"/>
            <family val="2"/>
          </rPr>
          <t>Use against browning &amp; pinking in white wine.
PVPP, potassium casein and cellulose</t>
        </r>
      </text>
    </comment>
    <comment ref="A101" authorId="0">
      <text>
        <r>
          <rPr>
            <sz val="12"/>
            <color rgb="FF000000"/>
            <rFont val="Tahoma"/>
            <family val="2"/>
          </rPr>
          <t xml:space="preserve">  </t>
        </r>
        <r>
          <rPr>
            <b/>
            <sz val="12"/>
            <color rgb="FF000000"/>
            <rFont val="Tahoma"/>
            <family val="2"/>
          </rPr>
          <t xml:space="preserve"> +Ve FINING
</t>
        </r>
        <r>
          <rPr>
            <sz val="12"/>
            <color rgb="FF000000"/>
            <rFont val="Tahoma"/>
            <family val="2"/>
          </rPr>
          <t>Dilute in warm Water, maintain (35—40°C) during addition.</t>
        </r>
      </text>
    </comment>
    <comment ref="G101" authorId="0">
      <text>
        <r>
          <rPr>
            <sz val="12"/>
            <color rgb="FF000000"/>
            <rFont val="Tahoma"/>
            <family val="2"/>
          </rPr>
          <t>Coarse grade of PVPP.
Removes haze and yeast cells.</t>
        </r>
      </text>
    </comment>
    <comment ref="A102" authorId="0">
      <text>
        <r>
          <rPr>
            <b/>
            <sz val="12"/>
            <color rgb="FF000000"/>
            <rFont val="Tahoma"/>
            <family val="2"/>
          </rPr>
          <t xml:space="preserve">Mouthfeel &amp; Stabilization
</t>
        </r>
        <r>
          <rPr>
            <sz val="12"/>
            <color rgb="FF000000"/>
            <rFont val="Tahoma"/>
            <family val="2"/>
          </rPr>
          <t>ATTB Limit is 0.24 g/L</t>
        </r>
      </text>
    </comment>
    <comment ref="A103" authorId="0">
      <text>
        <r>
          <rPr>
            <sz val="12"/>
            <color rgb="FF000000"/>
            <rFont val="Tahoma"/>
            <family val="2"/>
          </rPr>
          <t xml:space="preserve">  </t>
        </r>
        <r>
          <rPr>
            <b/>
            <sz val="12"/>
            <color rgb="FF000000"/>
            <rFont val="Tahoma"/>
            <family val="2"/>
          </rPr>
          <t xml:space="preserve"> MICROBIAL CONTRO</t>
        </r>
        <r>
          <rPr>
            <sz val="12"/>
            <color rgb="FF000000"/>
            <rFont val="Tahoma"/>
            <family val="2"/>
          </rPr>
          <t>L</t>
        </r>
        <r>
          <rPr>
            <b/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ADD FIRST
Dilution:- 1:20
</t>
        </r>
        <r>
          <rPr>
            <b/>
            <sz val="12"/>
            <color rgb="FF000000"/>
            <rFont val="Tahoma"/>
            <family val="2"/>
          </rPr>
          <t>Mix well and often.</t>
        </r>
      </text>
    </comment>
    <comment ref="G103" authorId="0">
      <text>
        <r>
          <rPr>
            <b/>
            <sz val="12"/>
            <color rgb="FF000000"/>
            <rFont val="Tahoma"/>
            <family val="2"/>
          </rPr>
          <t>Nutrient</t>
        </r>
        <r>
          <rPr>
            <sz val="12"/>
            <color rgb="FF000000"/>
            <rFont val="Tahoma"/>
            <family val="2"/>
          </rPr>
          <t xml:space="preserve"> for malolactic bacteria</t>
        </r>
      </text>
    </comment>
    <comment ref="A104" authorId="1">
      <text>
        <r>
          <rPr>
            <b/>
            <sz val="12"/>
            <color indexed="81"/>
            <rFont val="Tahoma"/>
            <family val="2"/>
          </rPr>
          <t>MICROBIAL CONTROL
Late or Post AF,
control spoilage if MLF is not desired</t>
        </r>
      </text>
    </comment>
    <comment ref="G104" authorId="0">
      <text>
        <r>
          <rPr>
            <b/>
            <sz val="12"/>
            <color rgb="FF000000"/>
            <rFont val="Tahoma"/>
            <family val="2"/>
          </rPr>
          <t xml:space="preserve">Enzyme
</t>
        </r>
        <r>
          <rPr>
            <sz val="12"/>
            <color rgb="FF000000"/>
            <rFont val="Tahoma"/>
            <family val="2"/>
          </rPr>
          <t>Free aromatic terpenols in Muscats, Gewürztraminer, Riesling</t>
        </r>
      </text>
    </comment>
    <comment ref="A105" authorId="0">
      <text>
        <r>
          <rPr>
            <sz val="12"/>
            <color rgb="FF000000"/>
            <rFont val="Tahoma"/>
            <family val="2"/>
          </rPr>
          <t xml:space="preserve">   </t>
        </r>
        <r>
          <rPr>
            <b/>
            <sz val="12"/>
            <color rgb="FF000000"/>
            <rFont val="Tahoma"/>
            <family val="2"/>
          </rPr>
          <t xml:space="preserve">FINING
</t>
        </r>
        <r>
          <rPr>
            <sz val="12"/>
            <color rgb="FF000000"/>
            <rFont val="Tahoma"/>
            <family val="2"/>
          </rPr>
          <t>Add directly to finished wine for best results.
Add after other fining agents. 
Mix while adding.</t>
        </r>
      </text>
    </comment>
    <comment ref="G105" authorId="0">
      <text>
        <r>
          <rPr>
            <sz val="12"/>
            <color rgb="FF000000"/>
            <rFont val="Tahoma"/>
            <family val="2"/>
          </rPr>
          <t>Use for stuck fermentation also absorb toxic yeast by-products</t>
        </r>
      </text>
    </comment>
    <comment ref="B107" authorId="0">
      <text>
        <r>
          <rPr>
            <b/>
            <sz val="12"/>
            <color rgb="FF000000"/>
            <rFont val="Tahoma"/>
            <family val="2"/>
          </rPr>
          <t xml:space="preserve">24 hr time
</t>
        </r>
        <r>
          <rPr>
            <sz val="12"/>
            <color rgb="FF000000"/>
            <rFont val="Tahoma"/>
            <family val="2"/>
          </rPr>
          <t>1:15 pm</t>
        </r>
      </text>
    </comment>
    <comment ref="Q107" authorId="1">
      <text>
        <r>
          <rPr>
            <sz val="12"/>
            <color indexed="81"/>
            <rFont val="Tahoma"/>
            <family val="2"/>
          </rPr>
          <t>MULTIPIER FOR BRIX TO ALCOHOL (ABV). WHITE AND RED GRAPES.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Owner</author>
    <author>Bill Wyngaards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Zinfandel, Sangiovese, Syrah, Late Harvest, Icewine</t>
        </r>
      </text>
    </comment>
    <comment ref="S3" authorId="0">
      <text>
        <r>
          <rPr>
            <b/>
            <sz val="9"/>
            <color indexed="81"/>
            <rFont val="Tahoma"/>
            <family val="2"/>
          </rPr>
          <t>Zinfandel, Sangiovese, Syrah, Late Harvest, Icewine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Pinot Noir</t>
        </r>
      </text>
    </comment>
    <comment ref="S4" authorId="0">
      <text>
        <r>
          <rPr>
            <b/>
            <sz val="9"/>
            <color indexed="81"/>
            <rFont val="Tahoma"/>
            <family val="2"/>
          </rPr>
          <t>Pinot Noir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Rosé, Chardonnay, Viognier, Syrah, Marsanne, Roussanne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Rosé, Chardonnay, Viognier, Syrah, Marsanne, Roussanne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Pinot Gris, Gewurz, Riesling Viognier, Semillon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Pinot Gris, Gewurz, Riesling Viognier, Semillon</t>
        </r>
      </text>
    </comment>
    <comment ref="A8" authorId="1">
      <text>
        <r>
          <rPr>
            <b/>
            <sz val="9"/>
            <color indexed="81"/>
            <rFont val="Tahoma"/>
            <family val="2"/>
          </rPr>
          <t>Pinot Gris, Riesling, Grenache</t>
        </r>
      </text>
    </comment>
    <comment ref="S8" authorId="1">
      <text>
        <r>
          <rPr>
            <b/>
            <sz val="9"/>
            <color indexed="81"/>
            <rFont val="Tahoma"/>
            <family val="2"/>
          </rPr>
          <t>Pinot Gris, Riesling, Grenache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Pinot Noir, Zinfandel, Riesling, Petite Syrah</t>
        </r>
      </text>
    </comment>
    <comment ref="S9" authorId="0">
      <text>
        <r>
          <rPr>
            <b/>
            <sz val="9"/>
            <color indexed="81"/>
            <rFont val="Tahoma"/>
            <family val="2"/>
          </rPr>
          <t>Pinot Noir, Zinfandel, Riesling, Petite Syrah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Riesling, Viognier, Sauvignon Blanc, Pinot Blanc, Pino Gris, Gewürztraminer, Sparkling Base, Rosé</t>
        </r>
      </text>
    </comment>
    <comment ref="S10" authorId="0">
      <text>
        <r>
          <rPr>
            <b/>
            <sz val="9"/>
            <color indexed="81"/>
            <rFont val="Tahoma"/>
            <family val="2"/>
          </rPr>
          <t>Riesling, Viognier, Sauvignon B, Pinot Blanc, Pinot Gris, Gewürztraminer, Sparkling Base, Rosé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Merlot, Cabernet Sauv, Zinfandel, Syrah</t>
        </r>
      </text>
    </comment>
    <comment ref="S11" authorId="0">
      <text>
        <r>
          <rPr>
            <b/>
            <sz val="9"/>
            <color indexed="81"/>
            <rFont val="Tahoma"/>
            <family val="2"/>
          </rPr>
          <t>Merlot, Cab Sauv, Zinfandel, Syrah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Sangiovese, Cabernet Sauv, Grenache, Zinfandel, Nebbiolo, Chardonnay</t>
        </r>
      </text>
    </comment>
    <comment ref="S12" authorId="0">
      <text>
        <r>
          <rPr>
            <b/>
            <sz val="9"/>
            <color indexed="81"/>
            <rFont val="Tahoma"/>
            <family val="2"/>
          </rPr>
          <t>Sangiovese, Cab Sauv, Grenache, Zinfandel, Nebbiolo, Chardonnay</t>
        </r>
      </text>
    </comment>
    <comment ref="A13" authorId="1">
      <text>
        <r>
          <rPr>
            <b/>
            <sz val="9"/>
            <color indexed="81"/>
            <rFont val="Tahoma"/>
            <family val="2"/>
          </rPr>
          <t>Sangiovese, Cabernet. Sauv., Grenache, Zinfandel, Nebbiolo, Chardonnay</t>
        </r>
      </text>
    </comment>
    <comment ref="S13" authorId="1">
      <text>
        <r>
          <rPr>
            <b/>
            <sz val="9"/>
            <color indexed="81"/>
            <rFont val="Tahoma"/>
            <family val="2"/>
          </rPr>
          <t>Sangiovese, Cabernet Sauv., Grenache, Zinfandel, Nebbiolo, Chardonnay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Syrah, Grenache, Carignane, Tempranillo</t>
        </r>
      </text>
    </comment>
    <comment ref="S14" authorId="0">
      <text>
        <r>
          <rPr>
            <b/>
            <sz val="9"/>
            <color indexed="81"/>
            <rFont val="Tahoma"/>
            <family val="2"/>
          </rPr>
          <t>Syrah, Grenache, Carignane, Tempranillo</t>
        </r>
      </text>
    </comment>
    <comment ref="A15" authorId="1">
      <text>
        <r>
          <rPr>
            <b/>
            <sz val="9"/>
            <color indexed="81"/>
            <rFont val="Tahoma"/>
            <family val="2"/>
          </rPr>
          <t>Chardonnay, Pinot Blanc, Chardonel</t>
        </r>
      </text>
    </comment>
    <comment ref="S15" authorId="1">
      <text>
        <r>
          <rPr>
            <b/>
            <sz val="9"/>
            <color indexed="81"/>
            <rFont val="Tahoma"/>
            <family val="2"/>
          </rPr>
          <t>Chardonnay, Pinot Blanc, Chardonel</t>
        </r>
      </text>
    </comment>
    <comment ref="A16" authorId="1">
      <text>
        <r>
          <rPr>
            <b/>
            <sz val="9"/>
            <color indexed="81"/>
            <rFont val="Tahoma"/>
            <family val="2"/>
          </rPr>
          <t>Merlot, Syrah, Zinfandel, Cabernet. Sauv., Chardonnay</t>
        </r>
      </text>
    </comment>
    <comment ref="S16" authorId="1">
      <text>
        <r>
          <rPr>
            <b/>
            <sz val="9"/>
            <color indexed="81"/>
            <rFont val="Tahoma"/>
            <family val="2"/>
          </rPr>
          <t>Merlot, Syrah, Zinfandel, Cabernet Sauv., Chardonnay</t>
        </r>
      </text>
    </comment>
    <comment ref="A17" authorId="1">
      <text>
        <r>
          <rPr>
            <b/>
            <sz val="9"/>
            <color indexed="81"/>
            <rFont val="Tahoma"/>
            <family val="2"/>
          </rPr>
          <t>Cabernet Sauv., Syrah, Zinfandel, Sangiovese, Chardonnay</t>
        </r>
      </text>
    </comment>
    <comment ref="S17" authorId="1">
      <text>
        <r>
          <rPr>
            <b/>
            <sz val="9"/>
            <color indexed="81"/>
            <rFont val="Tahoma"/>
            <family val="2"/>
          </rPr>
          <t>Cabernet Sauv., Syrah, Zinfandel, Sangiovese, Chardonnay</t>
        </r>
      </text>
    </comment>
    <comment ref="A18" authorId="1">
      <text>
        <r>
          <rPr>
            <b/>
            <sz val="9"/>
            <color indexed="81"/>
            <rFont val="Tahoma"/>
            <family val="2"/>
          </rPr>
          <t>Chardonnay</t>
        </r>
      </text>
    </comment>
    <comment ref="S18" authorId="1">
      <text>
        <r>
          <rPr>
            <b/>
            <sz val="9"/>
            <color indexed="81"/>
            <rFont val="Tahoma"/>
            <family val="2"/>
          </rPr>
          <t>Chardonnay</t>
        </r>
      </text>
    </comment>
    <comment ref="A19" authorId="1">
      <text>
        <r>
          <rPr>
            <b/>
            <sz val="9"/>
            <color indexed="81"/>
            <rFont val="Tahoma"/>
            <family val="2"/>
          </rPr>
          <t>Cabernet Sauv., Merlot, Syrah, Zinfandel</t>
        </r>
      </text>
    </comment>
    <comment ref="S19" authorId="1">
      <text>
        <r>
          <rPr>
            <b/>
            <sz val="9"/>
            <color indexed="81"/>
            <rFont val="Tahoma"/>
            <family val="2"/>
          </rPr>
          <t>Cabernet Sauv., Merlot, Syrah, Zinfandel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Chardonnay, Sparkling Base, Gewürztraminer, Pinot Gris, Late Harvest Fruit, Pinot Blanc, Secondary Fermentation.</t>
        </r>
      </text>
    </comment>
    <comment ref="S20" authorId="0">
      <text>
        <r>
          <rPr>
            <b/>
            <sz val="9"/>
            <color indexed="81"/>
            <rFont val="Tahoma"/>
            <family val="2"/>
          </rPr>
          <t>Chardonnay, Sparkling Base, Gewürztraminer, Pinot Gris, Late Harvest Fruit, Pinot Blanc, Secondary Fermentation.</t>
        </r>
      </text>
    </comment>
    <comment ref="A21" authorId="1">
      <text>
        <r>
          <rPr>
            <b/>
            <sz val="9"/>
            <color indexed="81"/>
            <rFont val="Tahoma"/>
            <family val="2"/>
          </rPr>
          <t>Sparkling base, Late Harvest, Ice-wine, Fruit wine</t>
        </r>
      </text>
    </comment>
    <comment ref="S21" authorId="1">
      <text>
        <r>
          <rPr>
            <b/>
            <sz val="9"/>
            <color indexed="81"/>
            <rFont val="Tahoma"/>
            <family val="2"/>
          </rPr>
          <t>Sparkling base, Late Harvest, Ice-wine, Fruit wine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Cabernet Franc, Grenache, Cab. Sauvignon, Merlot, Syrah, Chenin Blanc, Riesling, Rosé, Marsanne, Roussanne</t>
        </r>
      </text>
    </comment>
    <comment ref="S22" authorId="0">
      <text>
        <r>
          <rPr>
            <b/>
            <sz val="9"/>
            <color indexed="81"/>
            <rFont val="Tahoma"/>
            <family val="2"/>
          </rPr>
          <t>Cabernet Franc, Grenache, Cabernet Sauvignon, Merlot, Syrah, Chenin Blanc, Riesling, Rosé, Marsanne, Roussanne</t>
        </r>
      </text>
    </comment>
    <comment ref="A23" authorId="1">
      <text>
        <r>
          <rPr>
            <b/>
            <sz val="9"/>
            <color indexed="81"/>
            <rFont val="Tahoma"/>
            <family val="2"/>
          </rPr>
          <t>Stuck Fermentations, Sauvignon Blanc, Sémillon, Chenin Blanc</t>
        </r>
      </text>
    </comment>
    <comment ref="S23" authorId="1">
      <text>
        <r>
          <rPr>
            <b/>
            <sz val="9"/>
            <color indexed="81"/>
            <rFont val="Tahoma"/>
            <family val="2"/>
          </rPr>
          <t>Stuck Fermentations, Sauvignon Blanc, Sémillon, Chenin Blanc</t>
        </r>
      </text>
    </comment>
    <comment ref="A24" authorId="1">
      <text>
        <r>
          <rPr>
            <b/>
            <sz val="9"/>
            <color indexed="81"/>
            <rFont val="Tahoma"/>
            <family val="2"/>
          </rPr>
          <t>Syrah, Grenache, Barbara, Zinfandel</t>
        </r>
      </text>
    </comment>
    <comment ref="S24" authorId="1">
      <text>
        <r>
          <rPr>
            <b/>
            <sz val="9"/>
            <color indexed="81"/>
            <rFont val="Tahoma"/>
            <family val="2"/>
          </rPr>
          <t>Syrah, Grenache, Barbara, Zinfandel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Merlot, Cab. Sauvignon, Carignane</t>
        </r>
      </text>
    </comment>
    <comment ref="S25" authorId="0">
      <text>
        <r>
          <rPr>
            <b/>
            <sz val="9"/>
            <color indexed="81"/>
            <rFont val="Tahoma"/>
            <family val="2"/>
          </rPr>
          <t>Merlot, Cabernet Sauvignon,
 Carignane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Chardonnay, Sauvignon Blanc, Rose</t>
        </r>
      </text>
    </comment>
    <comment ref="S26" authorId="0">
      <text>
        <r>
          <rPr>
            <b/>
            <sz val="9"/>
            <color indexed="81"/>
            <rFont val="Tahoma"/>
            <family val="2"/>
          </rPr>
          <t>Chardonnay, Sauvignon Blanc, Rose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Chardonnay, Sauvignon Blanc, Semillon, Chardonel, Gewürztraminer, Pinot Blanc, Seyval Blanc</t>
        </r>
      </text>
    </comment>
    <comment ref="S27" authorId="0">
      <text>
        <r>
          <rPr>
            <b/>
            <sz val="9"/>
            <color indexed="81"/>
            <rFont val="Tahoma"/>
            <family val="2"/>
          </rPr>
          <t>Chardonnay, Sauvignon Blanc, Semillon, Chardonel, Gewürztraminer, Pinot Blanc, Seyval Blanc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Riesling, Sauvignon Blanc, Gewürztraminer, Ice-wine, White Hybrids, Fruit Wines</t>
        </r>
      </text>
    </comment>
    <comment ref="S28" authorId="1">
      <text>
        <r>
          <rPr>
            <b/>
            <sz val="9"/>
            <color indexed="81"/>
            <rFont val="Tahoma"/>
            <family val="2"/>
          </rPr>
          <t>Riesling, Sauvignon Blanc, Gewürztraminer, Ice-wine, White Hybrids, Fruit Wines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Sanigiovese, hybrids, roses, light reds.</t>
        </r>
      </text>
    </comment>
    <comment ref="S29" authorId="0">
      <text>
        <r>
          <rPr>
            <b/>
            <sz val="9"/>
            <color indexed="81"/>
            <rFont val="Tahoma"/>
            <family val="2"/>
          </rPr>
          <t>Sangiovese, hybrids, roses, light reds.</t>
        </r>
      </text>
    </comment>
    <comment ref="A30" authorId="1">
      <text>
        <r>
          <rPr>
            <b/>
            <sz val="9"/>
            <color indexed="81"/>
            <rFont val="Tahoma"/>
            <family val="2"/>
          </rPr>
          <t>Pinot Noir, Grenache, Cabernet Sauv., Chambourcin, Rosé</t>
        </r>
      </text>
    </comment>
    <comment ref="S30" authorId="1">
      <text>
        <r>
          <rPr>
            <b/>
            <sz val="9"/>
            <color indexed="81"/>
            <rFont val="Tahoma"/>
            <family val="2"/>
          </rPr>
          <t>Pinot Noir, Grenache, Cabernet Sauv., Chambourcin, Rosé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Riesling, Gewurz, Sauv Blanc, Viognier, White Hybrids, Icewine</t>
        </r>
      </text>
    </comment>
    <comment ref="S31" authorId="0">
      <text>
        <r>
          <rPr>
            <b/>
            <sz val="9"/>
            <color indexed="81"/>
            <rFont val="Tahoma"/>
            <family val="2"/>
          </rPr>
          <t>Riesling, Gewurz, Sauv Blanc, Viognier, White Hybrids, Icewine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Syrah, Zinfandel, Merlot, Cabernet Sauvignon</t>
        </r>
      </text>
    </comment>
    <comment ref="S32" authorId="0">
      <text>
        <r>
          <rPr>
            <b/>
            <sz val="9"/>
            <color indexed="81"/>
            <rFont val="Tahoma"/>
            <family val="2"/>
          </rPr>
          <t>Syrah, Zinfandel, Merlot, Cabernet Sauvignon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Sauvignon Blanc, Pinot Gris, Riesling, Hybrids</t>
        </r>
      </text>
    </comment>
    <comment ref="S33" authorId="0">
      <text>
        <r>
          <rPr>
            <b/>
            <sz val="9"/>
            <color indexed="81"/>
            <rFont val="Tahoma"/>
            <family val="2"/>
          </rPr>
          <t>Sauvignon Blanc, Pinot Gris, Riesling, Hybrids</t>
        </r>
      </text>
    </comment>
    <comment ref="A34" authorId="1">
      <text>
        <r>
          <rPr>
            <b/>
            <sz val="9"/>
            <color indexed="81"/>
            <rFont val="Tahoma"/>
            <family val="2"/>
          </rPr>
          <t>Syrah, Merlot, Carignane</t>
        </r>
      </text>
    </comment>
    <comment ref="S34" authorId="1">
      <text>
        <r>
          <rPr>
            <b/>
            <sz val="9"/>
            <color indexed="81"/>
            <rFont val="Tahoma"/>
            <family val="2"/>
          </rPr>
          <t>Syrah, Merlot, Carignane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 xml:space="preserve">Pinot Gris, Chardonnay, Semillon, </t>
        </r>
      </text>
    </comment>
    <comment ref="S35" authorId="0">
      <text>
        <r>
          <rPr>
            <b/>
            <sz val="9"/>
            <color indexed="81"/>
            <rFont val="Tahoma"/>
            <family val="2"/>
          </rPr>
          <t>Pinot Gris, Chardonnay, Semillon</t>
        </r>
      </text>
    </comment>
    <comment ref="A36" authorId="1">
      <text>
        <r>
          <rPr>
            <b/>
            <sz val="9"/>
            <color indexed="81"/>
            <rFont val="Tahoma"/>
            <family val="2"/>
          </rPr>
          <t>Sauvignon Blanc, Gewürztraminer, Pinot Gris, Riesling</t>
        </r>
      </text>
    </comment>
    <comment ref="S36" authorId="1">
      <text>
        <r>
          <rPr>
            <b/>
            <sz val="9"/>
            <color indexed="81"/>
            <rFont val="Tahoma"/>
            <family val="2"/>
          </rPr>
          <t>Sauvignon Blanc, Gewürztraminer, Pinot Gris, Riesling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Tempranilo, Barbera, Sangiovese, Zinfandel, Petite Syrah, Mourvédre</t>
        </r>
      </text>
    </comment>
    <comment ref="S37" authorId="0">
      <text>
        <r>
          <rPr>
            <b/>
            <sz val="9"/>
            <color indexed="81"/>
            <rFont val="Tahoma"/>
            <family val="2"/>
          </rPr>
          <t>Tempranilo, Barbera, Sangiovese, Zinfandel, Petite Syrah, Mourvédre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Cab. Sauvignon, Cab. Franc, Merlot, Shiraz, Rosé, French Hybrids, Fruit Wine</t>
        </r>
      </text>
    </comment>
    <comment ref="S38" authorId="0">
      <text>
        <r>
          <rPr>
            <b/>
            <sz val="9"/>
            <color indexed="81"/>
            <rFont val="Tahoma"/>
            <family val="2"/>
          </rPr>
          <t>Cabernet Sauvignon, Cabernet Franc, Merlot, Shiraz, Rosé, French Hybrids, Fruit Wine</t>
        </r>
      </text>
    </comment>
  </commentList>
</comments>
</file>

<file path=xl/comments3.xml><?xml version="1.0" encoding="utf-8"?>
<comments xmlns="http://schemas.openxmlformats.org/spreadsheetml/2006/main">
  <authors>
    <author>Willem Wyngaards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ESTER PRODUCING FOR AROMATIC WHITES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" authorId="0">
      <text>
        <r>
          <rPr>
            <b/>
            <sz val="9"/>
            <color indexed="81"/>
            <rFont val="Tahoma"/>
            <family val="2"/>
          </rPr>
          <t>WHITES, TERPENIC—HARSH CONDITIONS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VARIETAL WHITES—THIOLS RELEASE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ELEGANT, CRISP &amp; LIVELY WHITES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WHITES, REDS, CIDER &amp; FRUIT WINES</t>
        </r>
      </text>
    </comment>
    <comment ref="G2" authorId="0">
      <text>
        <r>
          <rPr>
            <b/>
            <sz val="9"/>
            <color indexed="81"/>
            <rFont val="Tahoma"/>
            <family val="2"/>
          </rPr>
          <t>CIDER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FRUITY REDS
REDUCES MALIC ACID BY 20—30%</t>
        </r>
      </text>
    </comment>
    <comment ref="J2" authorId="0">
      <text>
        <r>
          <rPr>
            <b/>
            <sz val="9"/>
            <color indexed="81"/>
            <rFont val="Tahoma"/>
            <family val="2"/>
          </rPr>
          <t>HIGH GLYCEROL REDS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YOUTHFUL REDS &amp; PINOT NOIR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FRUITY REDS WITH COLOUR &amp; STRUCTURE</t>
        </r>
      </text>
    </comment>
    <comment ref="A9" authorId="0">
      <text>
        <r>
          <rPr>
            <b/>
            <sz val="11"/>
            <color indexed="81"/>
            <rFont val="Arial"/>
            <family val="2"/>
          </rPr>
          <t>Grams per Litre  → 1 % ABV</t>
        </r>
      </text>
    </comment>
  </commentList>
</comments>
</file>

<file path=xl/comments4.xml><?xml version="1.0" encoding="utf-8"?>
<comments xmlns="http://schemas.openxmlformats.org/spreadsheetml/2006/main">
  <authors>
    <author>Willem Wyngaards</author>
  </authors>
  <commentList>
    <comment ref="A11" authorId="0">
      <text>
        <r>
          <rPr>
            <sz val="12"/>
            <color indexed="81"/>
            <rFont val="Tahoma"/>
            <family val="2"/>
          </rPr>
          <t>Max loss of °Brix/Day</t>
        </r>
      </text>
    </comment>
  </commentList>
</comments>
</file>

<file path=xl/sharedStrings.xml><?xml version="1.0" encoding="utf-8"?>
<sst xmlns="http://schemas.openxmlformats.org/spreadsheetml/2006/main" count="2304" uniqueCount="1068">
  <si>
    <t>MUST CALCULATIONS</t>
  </si>
  <si>
    <t>by Willem Wyngaards</t>
  </si>
  <si>
    <t>Specific Gravity in Air at 60°/60°F</t>
  </si>
  <si>
    <r>
      <rPr>
        <b/>
        <sz val="10"/>
        <rFont val="Arial"/>
        <family val="2"/>
      </rPr>
      <t>20°C
relative to
20°C 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</si>
  <si>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rPr>
        <b/>
        <sz val="10"/>
        <rFont val="Arial"/>
        <family val="2"/>
      </rPr>
      <t>25°C
relative to
25°C 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</si>
  <si>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TTB Table 6</t>
  </si>
  <si>
    <t>PROOF</t>
  </si>
  <si>
    <t>ALCOHOL 
VOLUME</t>
  </si>
  <si>
    <t>WATER
VOLUME</t>
  </si>
  <si>
    <t>PAIL VOLUME</t>
  </si>
  <si>
    <t>GRAPE WEIGHT</t>
  </si>
  <si>
    <t>IUPAC</t>
  </si>
  <si>
    <t>PAIL I.D.</t>
  </si>
  <si>
    <r>
      <rPr>
        <b/>
        <sz val="10"/>
        <rFont val="Arial"/>
        <family val="2"/>
      </rPr>
      <t xml:space="preserve">Pail Freeboard
</t>
    </r>
    <r>
      <rPr>
        <b/>
        <sz val="12"/>
        <rFont val="Arial"/>
        <family val="2"/>
      </rPr>
      <t>mm</t>
    </r>
  </si>
  <si>
    <t>Volume
Juice
L</t>
  </si>
  <si>
    <r>
      <rPr>
        <b/>
        <sz val="10"/>
        <rFont val="Arial"/>
        <family val="2"/>
      </rPr>
      <t xml:space="preserve">Pail Freeboard
 </t>
    </r>
    <r>
      <rPr>
        <b/>
        <sz val="12"/>
        <rFont val="Arial"/>
        <family val="2"/>
      </rPr>
      <t>mm</t>
    </r>
  </si>
  <si>
    <t>PAIL WEIGHT
LBS</t>
  </si>
  <si>
    <t>PAIL TARE
LBS</t>
  </si>
  <si>
    <t>GRAPE
WEIGHT
LBS</t>
  </si>
  <si>
    <t>Specific
Gravity
20°C/20°C</t>
  </si>
  <si>
    <t>Percent
by
Volume</t>
  </si>
  <si>
    <t>A</t>
  </si>
  <si>
    <t>B</t>
  </si>
  <si>
    <t>C</t>
  </si>
  <si>
    <t>MUST TOTAL Litres</t>
  </si>
  <si>
    <t xml:space="preserve"> PRESSED TOTAL Litres</t>
  </si>
  <si>
    <t xml:space="preserve"> De STEMED TOTAL Weight</t>
  </si>
  <si>
    <t>VOLUME ESTIMATE</t>
  </si>
  <si>
    <t xml:space="preserve"> </t>
  </si>
  <si>
    <t>LALLZYME C—MAX</t>
  </si>
  <si>
    <t>Grape</t>
  </si>
  <si>
    <r>
      <rPr>
        <b/>
        <sz val="10"/>
        <rFont val="Arial"/>
        <family val="2"/>
      </rPr>
      <t xml:space="preserve">Grape
Weight
</t>
    </r>
    <r>
      <rPr>
        <b/>
        <sz val="12"/>
        <rFont val="Arial"/>
        <family val="2"/>
      </rPr>
      <t>lbs</t>
    </r>
  </si>
  <si>
    <r>
      <rPr>
        <b/>
        <sz val="10"/>
        <color rgb="FF060CFA"/>
        <rFont val="Arial"/>
        <family val="2"/>
      </rPr>
      <t xml:space="preserve">Juice 
Volume
Estimate
</t>
    </r>
    <r>
      <rPr>
        <b/>
        <sz val="12"/>
        <color rgb="FF060CFA"/>
        <rFont val="Arial"/>
        <family val="2"/>
      </rPr>
      <t>L</t>
    </r>
  </si>
  <si>
    <t xml:space="preserve"> °Brix</t>
  </si>
  <si>
    <r>
      <rPr>
        <b/>
        <sz val="10"/>
        <color rgb="FF060CFA"/>
        <rFont val="Arial"/>
        <family val="2"/>
      </rPr>
      <t xml:space="preserve">Potential
Alcohol
</t>
    </r>
    <r>
      <rPr>
        <b/>
        <sz val="12"/>
        <color rgb="FF060CFA"/>
        <rFont val="Arial"/>
        <family val="2"/>
      </rPr>
      <t>% ABV</t>
    </r>
  </si>
  <si>
    <t>Number 
of Bottles
750 mL</t>
  </si>
  <si>
    <t>PECTIN</t>
  </si>
  <si>
    <t>HARVEST</t>
  </si>
  <si>
    <t>PRESSING</t>
  </si>
  <si>
    <t>Ph</t>
  </si>
  <si>
    <t>MEDIUM</t>
  </si>
  <si>
    <t>HAND</t>
  </si>
  <si>
    <t>STRONG</t>
  </si>
  <si>
    <t>TEMP</t>
  </si>
  <si>
    <t>VOLUME Litres</t>
  </si>
  <si>
    <t>C-MAX (g/L)</t>
  </si>
  <si>
    <t>C-MAX total</t>
  </si>
  <si>
    <t xml:space="preserve"> ° BRIX</t>
  </si>
  <si>
    <t>YEAST g/L</t>
  </si>
  <si>
    <t>Pinot Gris</t>
  </si>
  <si>
    <t>PH</t>
  </si>
  <si>
    <t>MUST CHAPTALIZATION CALCULATOR</t>
  </si>
  <si>
    <t>Juice Volume 
L</t>
  </si>
  <si>
    <t>Original 
 °Brix</t>
  </si>
  <si>
    <t>Desired
Brix</t>
  </si>
  <si>
    <t>Sugar 
Kg</t>
  </si>
  <si>
    <t>New
Volume</t>
  </si>
  <si>
    <t>Volume 
L</t>
  </si>
  <si>
    <t>°Brix</t>
  </si>
  <si>
    <t>TA 
g/L</t>
  </si>
  <si>
    <t>Malic Acid
g/L</t>
  </si>
  <si>
    <t>YAN 
mgN/L</t>
  </si>
  <si>
    <t>SUM</t>
  </si>
  <si>
    <t xml:space="preserve">Juice  </t>
  </si>
  <si>
    <t xml:space="preserve">Water </t>
  </si>
  <si>
    <t>L
Juice Volume</t>
  </si>
  <si>
    <t>%ABV
Original</t>
  </si>
  <si>
    <t>%ABV
Desired</t>
  </si>
  <si>
    <t>Kg
Sugar</t>
  </si>
  <si>
    <t xml:space="preserve">Final  </t>
  </si>
  <si>
    <t>C—MAX</t>
  </si>
  <si>
    <t>NUTRIENT and YEAST CALCULATIONS</t>
  </si>
  <si>
    <t xml:space="preserve">°Brix </t>
  </si>
  <si>
    <t>Volume  L</t>
  </si>
  <si>
    <t>TOTALS</t>
  </si>
  <si>
    <t>GENTLE</t>
  </si>
  <si>
    <t xml:space="preserve">YEAST
STRAIN </t>
  </si>
  <si>
    <t>YAN SUPPLIED
BY GRAPE</t>
  </si>
  <si>
    <r>
      <rPr>
        <b/>
        <sz val="10"/>
        <color rgb="FF060CFA"/>
        <rFont val="Arial"/>
        <family val="2"/>
      </rPr>
      <t xml:space="preserve">Target YAN
</t>
    </r>
    <r>
      <rPr>
        <b/>
        <sz val="11"/>
        <color rgb="FF060CFA"/>
        <rFont val="Arial"/>
        <family val="2"/>
      </rPr>
      <t>mgN/L</t>
    </r>
  </si>
  <si>
    <t>YAN
DEFICIENCY</t>
  </si>
  <si>
    <t xml:space="preserve">SPLITS     %  </t>
  </si>
  <si>
    <t>71B</t>
  </si>
  <si>
    <t>Nitrogen
 Source</t>
  </si>
  <si>
    <r>
      <rPr>
        <b/>
        <sz val="10"/>
        <rFont val="Arial"/>
        <family val="2"/>
      </rPr>
      <t xml:space="preserve">Trial Addition
</t>
    </r>
    <r>
      <rPr>
        <b/>
        <sz val="11"/>
        <rFont val="Arial"/>
        <family val="2"/>
      </rPr>
      <t>g/L</t>
    </r>
  </si>
  <si>
    <r>
      <rPr>
        <b/>
        <sz val="10"/>
        <color rgb="FF060CFA"/>
        <rFont val="Arial"/>
        <family val="2"/>
      </rPr>
      <t xml:space="preserve">YAN
Yields
</t>
    </r>
    <r>
      <rPr>
        <b/>
        <sz val="11"/>
        <color rgb="FF060CFA"/>
        <rFont val="Arial"/>
        <family val="2"/>
      </rPr>
      <t>mgN/L</t>
    </r>
  </si>
  <si>
    <r>
      <rPr>
        <b/>
        <sz val="11"/>
        <color rgb="FF060CFA"/>
        <rFont val="Arial"/>
        <family val="2"/>
      </rPr>
      <t xml:space="preserve">Grams
</t>
    </r>
    <r>
      <rPr>
        <b/>
        <sz val="10"/>
        <color rgb="FF060CFA"/>
        <rFont val="Arial"/>
        <family val="2"/>
      </rPr>
      <t>for Total
Volume</t>
    </r>
  </si>
  <si>
    <t>HAVREST</t>
  </si>
  <si>
    <t xml:space="preserve">  Yeast</t>
  </si>
  <si>
    <t>~</t>
  </si>
  <si>
    <t>MACHINE</t>
  </si>
  <si>
    <t>DAP DISTRIBUTION</t>
  </si>
  <si>
    <t xml:space="preserve">  Fermaid K</t>
  </si>
  <si>
    <t>GRAPE PECTIN</t>
  </si>
  <si>
    <t xml:space="preserve">  Fermaid O</t>
  </si>
  <si>
    <t>LOW</t>
  </si>
  <si>
    <t xml:space="preserve">  Superfood</t>
  </si>
  <si>
    <t>HIGH</t>
  </si>
  <si>
    <t xml:space="preserve">  DAP</t>
  </si>
  <si>
    <t>TOTAL NUTRIENTS ADDED (mgN/L)</t>
  </si>
  <si>
    <t>ACID CALCULATIONS</t>
  </si>
  <si>
    <t xml:space="preserve">Target </t>
  </si>
  <si>
    <t>ADJUST COL. B VALUES UNTIL C40 VALUE EQUALS VALUE IN CELL D30</t>
  </si>
  <si>
    <t>Alcoholic Fermentation</t>
  </si>
  <si>
    <t>° Brix of Must</t>
  </si>
  <si>
    <t>YAN Level</t>
  </si>
  <si>
    <t xml:space="preserve"> YAN Target Level = (Brix° X 7.5 mgN/L)</t>
  </si>
  <si>
    <t xml:space="preserve"> TA                                  g/L</t>
  </si>
  <si>
    <t>SULPHITE CALCULATION</t>
  </si>
  <si>
    <t>HYDROMETER</t>
  </si>
  <si>
    <t xml:space="preserve">Malic Acid Reducing Yeast  </t>
  </si>
  <si>
    <t xml:space="preserve"> Alcohol                    % ABV</t>
  </si>
  <si>
    <t xml:space="preserve">pH </t>
  </si>
  <si>
    <t>TEMPERATURE CORRECTION</t>
  </si>
  <si>
    <t xml:space="preserve">20—40%  </t>
  </si>
  <si>
    <t xml:space="preserve"> Malic Acid                     g/L</t>
  </si>
  <si>
    <t>Alcohol % ABV</t>
  </si>
  <si>
    <t xml:space="preserve">Calibration       °C   </t>
  </si>
  <si>
    <t>Lalvin C</t>
  </si>
  <si>
    <t xml:space="preserve">   —45% </t>
  </si>
  <si>
    <r>
      <rPr>
        <b/>
        <sz val="12"/>
        <rFont val="Arial"/>
        <family val="2"/>
      </rPr>
      <t xml:space="preserve"> Malic Acid Reduction   </t>
    </r>
    <r>
      <rPr>
        <b/>
        <sz val="14"/>
        <rFont val="Arial"/>
        <family val="2"/>
      </rPr>
      <t>%</t>
    </r>
  </si>
  <si>
    <t xml:space="preserve">Temp.          °C </t>
  </si>
  <si>
    <t xml:space="preserve">Temperature     °C   </t>
  </si>
  <si>
    <t xml:space="preserve">25—30%  </t>
  </si>
  <si>
    <t xml:space="preserve"> TA after Fermentation      g/L</t>
  </si>
  <si>
    <r>
      <rPr>
        <b/>
        <sz val="12"/>
        <rFont val="Arial"/>
        <family val="2"/>
      </rPr>
      <t>Molecular SO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 </t>
    </r>
  </si>
  <si>
    <t xml:space="preserve">Hydrometer   °Brix  </t>
  </si>
  <si>
    <t>BO213</t>
  </si>
  <si>
    <t xml:space="preserve">40—80%  </t>
  </si>
  <si>
    <t>Malolactic Fermentation</t>
  </si>
  <si>
    <t xml:space="preserve">Volume         L </t>
  </si>
  <si>
    <t>ES401</t>
  </si>
  <si>
    <t xml:space="preserve">   —25% </t>
  </si>
  <si>
    <t xml:space="preserve"> ENTER YES IF ML Ferment</t>
  </si>
  <si>
    <t>Additional yeasts may be added by editing the Lookup table by inserting new rows,</t>
  </si>
  <si>
    <r>
      <rPr>
        <b/>
        <sz val="12"/>
        <rFont val="Arial"/>
        <family val="2"/>
      </rPr>
      <t xml:space="preserve">              FSO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(Initial)        ppm     </t>
    </r>
  </si>
  <si>
    <t xml:space="preserve">Hydrometer    °SG  </t>
  </si>
  <si>
    <t>Maurivin B</t>
  </si>
  <si>
    <t xml:space="preserve">   —55% </t>
  </si>
  <si>
    <t xml:space="preserve"> TA after MLF                 g/L</t>
  </si>
  <si>
    <t xml:space="preserve"> also the multiplier may be edited to your preference. BUT the table must be sorted by the 1st column in ascending order.</t>
  </si>
  <si>
    <t xml:space="preserve">              Percent Lost to Binding</t>
  </si>
  <si>
    <t xml:space="preserve"> Tartaric Acid Addition   g/L</t>
  </si>
  <si>
    <t xml:space="preserve"> Enter new yeast in the middle of the column and re-sort the table.</t>
  </si>
  <si>
    <r>
      <rPr>
        <b/>
        <sz val="12"/>
        <color theme="1"/>
        <rFont val="Arial"/>
        <family val="2"/>
      </rPr>
      <t xml:space="preserve">              FSO</t>
    </r>
    <r>
      <rPr>
        <b/>
        <vertAlign val="subscript"/>
        <sz val="12"/>
        <color rgb="FF002570"/>
        <rFont val="Arial"/>
        <family val="2"/>
      </rPr>
      <t>2</t>
    </r>
    <r>
      <rPr>
        <b/>
        <sz val="12"/>
        <color rgb="FF002570"/>
        <rFont val="Arial"/>
        <family val="2"/>
      </rPr>
      <t xml:space="preserve"> (Target)       ppm</t>
    </r>
  </si>
  <si>
    <t xml:space="preserve"> Volume                            L</t>
  </si>
  <si>
    <t xml:space="preserve"> Right click on A30 and choose Format Control  to edit. </t>
  </si>
  <si>
    <t xml:space="preserve">              KMBS                       g</t>
  </si>
  <si>
    <t xml:space="preserve"> Total Tartaric Acid        g</t>
  </si>
  <si>
    <t xml:space="preserve">              10 % KMBS            mL</t>
  </si>
  <si>
    <t xml:space="preserve"> TA after Acid                g/L</t>
  </si>
  <si>
    <t xml:space="preserve"> Red Table         Min Molecular</t>
  </si>
  <si>
    <r>
      <rPr>
        <b/>
        <sz val="12"/>
        <color theme="1"/>
        <rFont val="Arial"/>
        <family val="2"/>
      </rPr>
      <t>0.5 MSO</t>
    </r>
    <r>
      <rPr>
        <b/>
        <vertAlign val="subscript"/>
        <sz val="12"/>
        <color rgb="FF000000"/>
        <rFont val="Arial"/>
        <family val="2"/>
      </rPr>
      <t>2</t>
    </r>
  </si>
  <si>
    <t>BENCH TRIALS CALCULATOR</t>
  </si>
  <si>
    <t>YEAST MULTIPLIER VALUES</t>
  </si>
  <si>
    <t xml:space="preserve">    White Table     Max Molecular</t>
  </si>
  <si>
    <r>
      <rPr>
        <b/>
        <sz val="12"/>
        <color theme="1"/>
        <rFont val="Arial"/>
        <family val="2"/>
      </rPr>
      <t>0.8 MSO</t>
    </r>
    <r>
      <rPr>
        <b/>
        <vertAlign val="subscript"/>
        <sz val="12"/>
        <color rgb="FF000000"/>
        <rFont val="Arial"/>
        <family val="2"/>
      </rPr>
      <t>2</t>
    </r>
  </si>
  <si>
    <t xml:space="preserve">TARGET DOSAGE in ppm       mg/L  </t>
  </si>
  <si>
    <t>YEAST TABLE</t>
  </si>
  <si>
    <t>Scott
Lab</t>
  </si>
  <si>
    <t xml:space="preserve">SAMPLE VOLUME                        mL  </t>
  </si>
  <si>
    <t>g/L</t>
  </si>
  <si>
    <t>WINE FREEZING TEMP</t>
  </si>
  <si>
    <t>CONVERT</t>
  </si>
  <si>
    <t xml:space="preserve"> STOCK CONCENTRATION          %   </t>
  </si>
  <si>
    <t xml:space="preserve"> Alcohol %</t>
  </si>
  <si>
    <t xml:space="preserve"> Air °C 
Temperature</t>
  </si>
  <si>
    <t>Low</t>
  </si>
  <si>
    <t>CELSIUS</t>
  </si>
  <si>
    <t>FAHRENHEIT</t>
  </si>
  <si>
    <t xml:space="preserve">VOLUME STOCK SOLUTION     mL  </t>
  </si>
  <si>
    <t>Med</t>
  </si>
  <si>
    <t>High</t>
  </si>
  <si>
    <t>LITRES</t>
  </si>
  <si>
    <t>US GALLONS</t>
  </si>
  <si>
    <t xml:space="preserve">Red means data by:— J.M.Sablayrolles INRA-IPV, Montpellier, France, </t>
  </si>
  <si>
    <t>REFRACTOMETER READING
CORRECTED for ALCOHOL</t>
  </si>
  <si>
    <t>PEARSON SQUARE</t>
  </si>
  <si>
    <t xml:space="preserve">Scott Lab descriptor of Low, Med, High, Nitrogen needs were assigned multiplier values </t>
  </si>
  <si>
    <t>S.G.</t>
  </si>
  <si>
    <t>° BRIX</t>
  </si>
  <si>
    <t>WINES</t>
  </si>
  <si>
    <t>TARGET</t>
  </si>
  <si>
    <t>PARTS</t>
  </si>
  <si>
    <t>VOLUMES</t>
  </si>
  <si>
    <t xml:space="preserve">Starting       °Brix </t>
  </si>
  <si>
    <t xml:space="preserve">A  </t>
  </si>
  <si>
    <t>58W3</t>
  </si>
  <si>
    <t>Lb/1000 US Gal</t>
  </si>
  <si>
    <t xml:space="preserve">Observed   °Brix </t>
  </si>
  <si>
    <t xml:space="preserve">Adjusted    °Brix </t>
  </si>
  <si>
    <t xml:space="preserve">B  </t>
  </si>
  <si>
    <t>AMH</t>
  </si>
  <si>
    <t>Kilograms</t>
  </si>
  <si>
    <t>Pounds</t>
  </si>
  <si>
    <t xml:space="preserve">Calculated   S.G. </t>
  </si>
  <si>
    <t>TOTAL</t>
  </si>
  <si>
    <t>Ba11</t>
  </si>
  <si>
    <t xml:space="preserve">Estimate  %ABV </t>
  </si>
  <si>
    <t>BDX</t>
  </si>
  <si>
    <t>Ratings are adjusted to Scott Lab 2020 Fermentation Handbook</t>
  </si>
  <si>
    <t>POTENTIAL ALCOHOL ESTIMATE</t>
  </si>
  <si>
    <t>BM 4X4</t>
  </si>
  <si>
    <t>Scott Lab low rating is assigned a value of 7.5 mgN/L x °Brix =1</t>
  </si>
  <si>
    <t>CALCULATE ALCOHOL in FINISHED WINE</t>
  </si>
  <si>
    <t>RESIDUAL SUGAR ESTIMATE</t>
  </si>
  <si>
    <t xml:space="preserve">INITIAL S.G.
Hydrometer </t>
  </si>
  <si>
    <t>FINAL S.G.
Hydrometer</t>
  </si>
  <si>
    <t>Alcohol
% ABV</t>
  </si>
  <si>
    <t>BM45</t>
  </si>
  <si>
    <t>Scott Lab medium rating is assigned a value of 9 mgN/L x °Brix.  Multiplier 9/7.5=1.2</t>
  </si>
  <si>
    <t>INITIAL S.G.
Hydrometer</t>
  </si>
  <si>
    <t>RED WINE</t>
  </si>
  <si>
    <t>Clos</t>
  </si>
  <si>
    <t>Scott Lab high rating is assigned a value of 12.5 mgN/L x °Brix. Multiplier is 12.5/7.5=1.67</t>
  </si>
  <si>
    <t>Final 
S.G. or °Brix</t>
  </si>
  <si>
    <t>Residual Sugar
g/L</t>
  </si>
  <si>
    <t>CY 3079</t>
  </si>
  <si>
    <t xml:space="preserve">DSOS  </t>
  </si>
  <si>
    <t>D21</t>
  </si>
  <si>
    <r>
      <rPr>
        <b/>
        <sz val="12"/>
        <rFont val="Arial"/>
        <family val="2"/>
      </rPr>
      <t>S.G. Initial:—</t>
    </r>
    <r>
      <rPr>
        <sz val="12"/>
        <rFont val="Arial"/>
        <family val="2"/>
      </rPr>
      <t xml:space="preserve"> Original Wine S.G.</t>
    </r>
  </si>
  <si>
    <t xml:space="preserve">S.G. </t>
  </si>
  <si>
    <t>D254</t>
  </si>
  <si>
    <r>
      <rPr>
        <b/>
        <sz val="12"/>
        <rFont val="Arial"/>
        <family val="2"/>
      </rPr>
      <t>S.G. Final:—</t>
    </r>
    <r>
      <rPr>
        <sz val="12"/>
        <rFont val="Arial"/>
        <family val="2"/>
      </rPr>
      <t xml:space="preserve"> S.G. after wine is reduced 1/2 by boiling off alcohol and topping up with distilled water to original volume. The use of a narrow range hydrometer at 20°C is recommended.</t>
    </r>
  </si>
  <si>
    <t xml:space="preserve">°Bx  </t>
  </si>
  <si>
    <t>ALCOHOL ESTIMATE</t>
  </si>
  <si>
    <t>D47</t>
  </si>
  <si>
    <t>WHITE WINE</t>
  </si>
  <si>
    <t>FINAL °Brix
Refractometer</t>
  </si>
  <si>
    <t>D80</t>
  </si>
  <si>
    <t>Initial
S.G. or °Brix</t>
  </si>
  <si>
    <t>DV10</t>
  </si>
  <si>
    <t>EC 1118</t>
  </si>
  <si>
    <t>ALCOHOL / WATER BLENDING</t>
  </si>
  <si>
    <t>ES 454</t>
  </si>
  <si>
    <t>VOLUME</t>
  </si>
  <si>
    <t>POTASSIUM SORBATE</t>
  </si>
  <si>
    <t>GRE</t>
  </si>
  <si>
    <t>DISTILLATE</t>
  </si>
  <si>
    <t xml:space="preserve">TA   </t>
  </si>
  <si>
    <t>READINGS ARE BY HYDROMETER</t>
  </si>
  <si>
    <t>K1 V1116</t>
  </si>
  <si>
    <t xml:space="preserve">       DESIRED</t>
  </si>
  <si>
    <t>L2056</t>
  </si>
  <si>
    <t xml:space="preserve">  WATER</t>
  </si>
  <si>
    <t>Volume      L</t>
  </si>
  <si>
    <t>MT</t>
  </si>
  <si>
    <t>P. Sorbate g</t>
  </si>
  <si>
    <t>Opal</t>
  </si>
  <si>
    <t>QA23</t>
  </si>
  <si>
    <t>Ingredient</t>
  </si>
  <si>
    <t>Recommended
Dosage</t>
  </si>
  <si>
    <t>USE</t>
  </si>
  <si>
    <t>Amount to
Add
Grams or mL</t>
  </si>
  <si>
    <t xml:space="preserve">ENTER 
</t>
  </si>
  <si>
    <t>Recommended Dosage</t>
  </si>
  <si>
    <t>R2</t>
  </si>
  <si>
    <t xml:space="preserve">  KMBS at crush</t>
  </si>
  <si>
    <t>0.01—0.03 g/Lb</t>
  </si>
  <si>
    <t>VOLUME in Litres</t>
  </si>
  <si>
    <t>Whites</t>
  </si>
  <si>
    <t>Reds</t>
  </si>
  <si>
    <t>RBS 133</t>
  </si>
  <si>
    <t xml:space="preserve">  Lallzyme EX–V</t>
  </si>
  <si>
    <t xml:space="preserve"> Color Pro</t>
  </si>
  <si>
    <t>0.03—0.05 mL/Lb</t>
  </si>
  <si>
    <t>RC212</t>
  </si>
  <si>
    <t xml:space="preserve">  Lallzyme EX</t>
  </si>
  <si>
    <t>WEIGHT in Pounds</t>
  </si>
  <si>
    <t xml:space="preserve"> Scottzyme KS</t>
  </si>
  <si>
    <t>0.026—0.04 mL/L</t>
  </si>
  <si>
    <t>0.05—0.08 mL</t>
  </si>
  <si>
    <t>R–HST</t>
  </si>
  <si>
    <t xml:space="preserve">  Cuvée Blanc</t>
  </si>
  <si>
    <t xml:space="preserve"> VR Supra</t>
  </si>
  <si>
    <t>0.30—0.50 g/L</t>
  </si>
  <si>
    <t>RP15</t>
  </si>
  <si>
    <t xml:space="preserve">  CINN–FREE</t>
  </si>
  <si>
    <t xml:space="preserve"> FT Blanc Soft</t>
  </si>
  <si>
    <t>0.05—0.15 g/L</t>
  </si>
  <si>
    <t>Syrah</t>
  </si>
  <si>
    <t xml:space="preserve">  FT Rouge</t>
  </si>
  <si>
    <t xml:space="preserve"> Tannin Riche</t>
  </si>
  <si>
    <t>0.03—0.07 g/L</t>
  </si>
  <si>
    <t>T306</t>
  </si>
  <si>
    <t xml:space="preserve">  Opti–Red</t>
  </si>
  <si>
    <t xml:space="preserve"> Booster Blanc</t>
  </si>
  <si>
    <t>VL1</t>
  </si>
  <si>
    <t xml:space="preserve">  Booster Rouge</t>
  </si>
  <si>
    <t xml:space="preserve"> Bentonite</t>
  </si>
  <si>
    <t>VL3</t>
  </si>
  <si>
    <t xml:space="preserve">  Opti–White</t>
  </si>
  <si>
    <t xml:space="preserve"> Albumex Bentonite</t>
  </si>
  <si>
    <t>1.0—3.0 g/L</t>
  </si>
  <si>
    <t>Vin13</t>
  </si>
  <si>
    <t xml:space="preserve">  Acti–ML</t>
  </si>
  <si>
    <t>Grams L. Bacteria</t>
  </si>
  <si>
    <t xml:space="preserve"> Canaton Bentonite</t>
  </si>
  <si>
    <t>VRB</t>
  </si>
  <si>
    <t xml:space="preserve">  Opti'Malo Plus</t>
  </si>
  <si>
    <t xml:space="preserve"> Sparkalloid</t>
  </si>
  <si>
    <t>0.12—0.48 g/L</t>
  </si>
  <si>
    <t>W15</t>
  </si>
  <si>
    <t xml:space="preserve"> Leucofood</t>
  </si>
  <si>
    <t>0.04—0.05 g/L</t>
  </si>
  <si>
    <t xml:space="preserve"> Colle Perle</t>
  </si>
  <si>
    <t>0.80–1.50 g/L</t>
  </si>
  <si>
    <t>Low-mod</t>
  </si>
  <si>
    <t>Renaissance Yeast</t>
  </si>
  <si>
    <t xml:space="preserve">  Noblesse</t>
  </si>
  <si>
    <t xml:space="preserve"> Gelocolle</t>
  </si>
  <si>
    <t>0.2–1.0 g/L</t>
  </si>
  <si>
    <t>Mod</t>
  </si>
  <si>
    <t xml:space="preserve">  Reduless</t>
  </si>
  <si>
    <t>0.015—0.03 g/L</t>
  </si>
  <si>
    <t xml:space="preserve">  Kupzit</t>
  </si>
  <si>
    <t xml:space="preserve"> Lysozyme</t>
  </si>
  <si>
    <t xml:space="preserve">  Gelatin</t>
  </si>
  <si>
    <t>0.05—0.09 g/L</t>
  </si>
  <si>
    <t xml:space="preserve"> Polycacel</t>
  </si>
  <si>
    <t xml:space="preserve">  Gum Arabic</t>
  </si>
  <si>
    <t>0.2—1.0 mL/L</t>
  </si>
  <si>
    <t xml:space="preserve"> Polyclar VT (PVPP)</t>
  </si>
  <si>
    <t xml:space="preserve"> Sur–Lie</t>
  </si>
  <si>
    <t>TR–313</t>
  </si>
  <si>
    <t xml:space="preserve">  ClarNOF</t>
  </si>
  <si>
    <t xml:space="preserve"> Yeast Hulls</t>
  </si>
  <si>
    <t>0.13–0.24 g/L</t>
  </si>
  <si>
    <t>Grape_Yield</t>
  </si>
  <si>
    <t>Bordeaux</t>
  </si>
  <si>
    <t>Mediterranean</t>
  </si>
  <si>
    <t>DATE</t>
  </si>
  <si>
    <t>TIME</t>
  </si>
  <si>
    <t>BRIX</t>
  </si>
  <si>
    <t>NOTES</t>
  </si>
  <si>
    <t>White Grapes</t>
  </si>
  <si>
    <t>Cab Franc</t>
  </si>
  <si>
    <t>Cab Sauvignon</t>
  </si>
  <si>
    <t>Grenache</t>
  </si>
  <si>
    <t>Merlot</t>
  </si>
  <si>
    <t>Petit Syrah</t>
  </si>
  <si>
    <t>Pinot Noir</t>
  </si>
  <si>
    <t>Riesling</t>
  </si>
  <si>
    <t>Sauv Blanc</t>
  </si>
  <si>
    <t>Viognier</t>
  </si>
  <si>
    <t>Zinfandel</t>
  </si>
  <si>
    <t>REFERENCES:—</t>
  </si>
  <si>
    <t>START UP TEMP</t>
  </si>
  <si>
    <t>Less than 25°C</t>
  </si>
  <si>
    <t>PEAK TEMP</t>
  </si>
  <si>
    <t>28°C</t>
  </si>
  <si>
    <t>DAYS TO PEAK</t>
  </si>
  <si>
    <t>Greater than 25°C</t>
  </si>
  <si>
    <t>28°C OR Greater than 28°C</t>
  </si>
  <si>
    <t>DAYS TO PEAK TEMP</t>
  </si>
  <si>
    <t>LESS THAN 2 DAYS</t>
  </si>
  <si>
    <t>RISK</t>
  </si>
  <si>
    <t>LOW RISK</t>
  </si>
  <si>
    <t>MODERATE RISK</t>
  </si>
  <si>
    <t>HIGH RISK</t>
  </si>
  <si>
    <t>MALOLACTIC FERMENTATION FEASIBILITY</t>
  </si>
  <si>
    <t>RATING</t>
  </si>
  <si>
    <t>ALCOHOL</t>
  </si>
  <si>
    <t>pH</t>
  </si>
  <si>
    <t>YAN</t>
  </si>
  <si>
    <t xml:space="preserve">  ALCOHOL (% vol.)</t>
  </si>
  <si>
    <t>&lt;13</t>
  </si>
  <si>
    <t>FAVORABLE</t>
  </si>
  <si>
    <t>&lt;10</t>
  </si>
  <si>
    <t>&gt;3.4</t>
  </si>
  <si>
    <t xml:space="preserve">  Ph</t>
  </si>
  <si>
    <r>
      <t xml:space="preserve">  Free SO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(mg/L)</t>
    </r>
  </si>
  <si>
    <t>&lt;8</t>
  </si>
  <si>
    <r>
      <t xml:space="preserve">  Total SO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(mg/L)</t>
    </r>
  </si>
  <si>
    <t>&lt;30</t>
  </si>
  <si>
    <t>VERY HIGH</t>
  </si>
  <si>
    <t xml:space="preserve">  TEMPERATURE (°C)</t>
  </si>
  <si>
    <t>MODERATE</t>
  </si>
  <si>
    <t xml:space="preserve">  YAN</t>
  </si>
  <si>
    <t xml:space="preserve">  EASE of Alcohol Ferment</t>
  </si>
  <si>
    <t>NO PROBLEMS</t>
  </si>
  <si>
    <t>&gt;17</t>
  </si>
  <si>
    <t xml:space="preserve">  MALIC ACID (g/L)</t>
  </si>
  <si>
    <t>&lt;2.9</t>
  </si>
  <si>
    <t xml:space="preserve">  RATE of Alcohol Ferment</t>
  </si>
  <si>
    <t>&lt;2</t>
  </si>
  <si>
    <t>EASE OF AF</t>
  </si>
  <si>
    <t>RATE of AF</t>
  </si>
  <si>
    <t>MALIC ACID</t>
  </si>
  <si>
    <t>FSO2</t>
  </si>
  <si>
    <t>TSO2</t>
  </si>
  <si>
    <t>MLF FEASIBILITY RATING IS:—</t>
  </si>
  <si>
    <t>&lt;0.5</t>
  </si>
  <si>
    <t>YEAST STRESS</t>
  </si>
  <si>
    <t>SLUGGISH / STUCK AF</t>
  </si>
  <si>
    <t>PROLONGED LEES CONTACT</t>
  </si>
  <si>
    <t>DIFICULT</t>
  </si>
  <si>
    <t>&gt;6</t>
  </si>
  <si>
    <t>&gt;7</t>
  </si>
  <si>
    <t>&gt;15</t>
  </si>
  <si>
    <t>&gt;29</t>
  </si>
  <si>
    <t>&gt;60</t>
  </si>
  <si>
    <t>EXTREME</t>
  </si>
  <si>
    <t>Yeast
Strain</t>
  </si>
  <si>
    <t>Sensory
Effect</t>
  </si>
  <si>
    <t>Neutral</t>
  </si>
  <si>
    <t>EVC</t>
  </si>
  <si>
    <t>Volume</t>
  </si>
  <si>
    <t>Esters</t>
  </si>
  <si>
    <t>Complexity</t>
  </si>
  <si>
    <t>Other</t>
  </si>
  <si>
    <t>Temp.
Range</t>
  </si>
  <si>
    <t>Ferment
Speed</t>
  </si>
  <si>
    <t>Competitive
Factor</t>
  </si>
  <si>
    <t>Alcohol
Tolerance</t>
  </si>
  <si>
    <t>Nitrogen
Needs</t>
  </si>
  <si>
    <t>Notes</t>
  </si>
  <si>
    <t>MLF
Tolerance</t>
  </si>
  <si>
    <t>§</t>
  </si>
  <si>
    <t>13–35°C</t>
  </si>
  <si>
    <t>55–95°F</t>
  </si>
  <si>
    <t>Fast</t>
  </si>
  <si>
    <t>Very Low</t>
  </si>
  <si>
    <t>Good</t>
  </si>
  <si>
    <t>+4</t>
  </si>
  <si>
    <t>12–32°C</t>
  </si>
  <si>
    <t>54–90°F</t>
  </si>
  <si>
    <t>Sensitive</t>
  </si>
  <si>
    <t>Average</t>
  </si>
  <si>
    <t>13–22°C</t>
  </si>
  <si>
    <t>56–72°F</t>
  </si>
  <si>
    <t>Yes</t>
  </si>
  <si>
    <t>+3</t>
  </si>
  <si>
    <t>EVC,Esters,M</t>
  </si>
  <si>
    <t>12–25°C</t>
  </si>
  <si>
    <t>54–77°F</t>
  </si>
  <si>
    <t>Very Low SO2, Low H2S</t>
  </si>
  <si>
    <t>15–30°C</t>
  </si>
  <si>
    <t>59–85°F</t>
  </si>
  <si>
    <t>Lowers Malic Acid</t>
  </si>
  <si>
    <t>Very Good</t>
  </si>
  <si>
    <t>+5</t>
  </si>
  <si>
    <t>20–30°C</t>
  </si>
  <si>
    <t>68–86°F</t>
  </si>
  <si>
    <t>Slow</t>
  </si>
  <si>
    <t>Long lag phase</t>
  </si>
  <si>
    <t>Esters,M</t>
  </si>
  <si>
    <t>15–25°C</t>
  </si>
  <si>
    <t>50–70°F</t>
  </si>
  <si>
    <t>Below Average</t>
  </si>
  <si>
    <t>-2</t>
  </si>
  <si>
    <t>EVC, M</t>
  </si>
  <si>
    <t>colour</t>
  </si>
  <si>
    <t>18–30°C</t>
  </si>
  <si>
    <t>64–86°F</t>
  </si>
  <si>
    <t>16–28°C</t>
  </si>
  <si>
    <t>64–82°F</t>
  </si>
  <si>
    <t>18–28°C</t>
  </si>
  <si>
    <t>slow to finish</t>
  </si>
  <si>
    <t>13–30°C</t>
  </si>
  <si>
    <t>57–90°F</t>
  </si>
  <si>
    <t>CY3079</t>
  </si>
  <si>
    <t>59–80°F</t>
  </si>
  <si>
    <t>16–30°C</t>
  </si>
  <si>
    <t>59–90°F</t>
  </si>
  <si>
    <t>54–82°F</t>
  </si>
  <si>
    <t>59–68°F</t>
  </si>
  <si>
    <t>15–28°C</t>
  </si>
  <si>
    <t>59–82°F</t>
  </si>
  <si>
    <t>10–35°C</t>
  </si>
  <si>
    <t>50–95°F</t>
  </si>
  <si>
    <t>EC1118</t>
  </si>
  <si>
    <t>10–30°C</t>
  </si>
  <si>
    <t>50–86°F</t>
  </si>
  <si>
    <t>Poor</t>
  </si>
  <si>
    <t>Easters</t>
  </si>
  <si>
    <t>Moderate</t>
  </si>
  <si>
    <t>15–32°C</t>
  </si>
  <si>
    <t>OPAL</t>
  </si>
  <si>
    <t>EVC, Esters</t>
  </si>
  <si>
    <t>12–30°C</t>
  </si>
  <si>
    <t>59–86°F</t>
  </si>
  <si>
    <t>10–28°C</t>
  </si>
  <si>
    <t>5–30°C</t>
  </si>
  <si>
    <t>41–90°F</t>
  </si>
  <si>
    <t>VA</t>
  </si>
  <si>
    <t>RBS133</t>
  </si>
  <si>
    <t>61–82°F</t>
  </si>
  <si>
    <t>68–90°F</t>
  </si>
  <si>
    <t>R-HST</t>
  </si>
  <si>
    <t>Neutral, M</t>
  </si>
  <si>
    <t>SVG</t>
  </si>
  <si>
    <t>16–25°C</t>
  </si>
  <si>
    <t>61–79°F</t>
  </si>
  <si>
    <t>—</t>
  </si>
  <si>
    <t>15–21°C</t>
  </si>
  <si>
    <t>59–69°F</t>
  </si>
  <si>
    <t>10–27°C</t>
  </si>
  <si>
    <t>50–80°F</t>
  </si>
  <si>
    <t>50–81°F</t>
  </si>
  <si>
    <t>M</t>
  </si>
  <si>
    <t>Mouthfeel</t>
  </si>
  <si>
    <t>RENAISSANCE YEASTS</t>
  </si>
  <si>
    <t>Allegro</t>
  </si>
  <si>
    <t>Bella</t>
  </si>
  <si>
    <t>Bravo</t>
  </si>
  <si>
    <t>Brio</t>
  </si>
  <si>
    <t>15—28</t>
  </si>
  <si>
    <t>14—30</t>
  </si>
  <si>
    <t>14—25</t>
  </si>
  <si>
    <t>14—28</t>
  </si>
  <si>
    <t>18—35</t>
  </si>
  <si>
    <t>16—30</t>
  </si>
  <si>
    <t>17—28</t>
  </si>
  <si>
    <t>18—25</t>
  </si>
  <si>
    <t>5—7</t>
  </si>
  <si>
    <t>6—8</t>
  </si>
  <si>
    <t>7—8.5</t>
  </si>
  <si>
    <t>6—7.5</t>
  </si>
  <si>
    <t>7—9</t>
  </si>
  <si>
    <t>9—11</t>
  </si>
  <si>
    <t>Volatile Acidity</t>
  </si>
  <si>
    <t>None</t>
  </si>
  <si>
    <t>Active</t>
  </si>
  <si>
    <t xml:space="preserve">None </t>
  </si>
  <si>
    <t>Lallemand
Alpha</t>
  </si>
  <si>
    <t>Lallemand
Beta</t>
  </si>
  <si>
    <t>Lallemand
 VP31</t>
  </si>
  <si>
    <t>Lallemand
 VP41</t>
  </si>
  <si>
    <t>Lallemand
PN4</t>
  </si>
  <si>
    <r>
      <t xml:space="preserve">Chr Hansen
</t>
    </r>
    <r>
      <rPr>
        <b/>
        <sz val="11"/>
        <rFont val="Arial"/>
        <family val="2"/>
      </rPr>
      <t>Viniflora Oenos</t>
    </r>
  </si>
  <si>
    <t>Chr Hansen
Viniflora CH16</t>
  </si>
  <si>
    <t>Chr Hansen
Viniflora CH35</t>
  </si>
  <si>
    <t>Wyeast
4007</t>
  </si>
  <si>
    <t>White Labs
WLP675</t>
  </si>
  <si>
    <t>Alcohol (% v/v)</t>
  </si>
  <si>
    <t>&lt;15.5</t>
  </si>
  <si>
    <t>&lt;15</t>
  </si>
  <si>
    <t>&lt;14</t>
  </si>
  <si>
    <t>&lt;16</t>
  </si>
  <si>
    <t>&gt;15.5</t>
  </si>
  <si>
    <t>pH Tolerance</t>
  </si>
  <si>
    <t>&gt;3.2</t>
  </si>
  <si>
    <t>&gt;3.1</t>
  </si>
  <si>
    <r>
      <t>SO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limit ppm</t>
    </r>
  </si>
  <si>
    <t>&lt;50</t>
  </si>
  <si>
    <t>&lt;60</t>
  </si>
  <si>
    <t>&lt;45</t>
  </si>
  <si>
    <t>&lt;40</t>
  </si>
  <si>
    <t>Temperature</t>
  </si>
  <si>
    <t>17-25°C (62-77°F)</t>
  </si>
  <si>
    <t>15-25°C (59-77°F)</t>
  </si>
  <si>
    <t>13-24°C (55°F-75°F)</t>
  </si>
  <si>
    <t>Relative nutrient demand</t>
  </si>
  <si>
    <t>Medium</t>
  </si>
  <si>
    <t>Diacetyl mg/L</t>
  </si>
  <si>
    <t>Ferment Kinetics       Start</t>
  </si>
  <si>
    <t>Ferment Kinetics       Finish</t>
  </si>
  <si>
    <t>RATTINGS OUT OF 5</t>
  </si>
  <si>
    <t xml:space="preserve">RED FRUITS                  </t>
  </si>
  <si>
    <t xml:space="preserve">TROPICAL                     </t>
  </si>
  <si>
    <t xml:space="preserve">BUTTERY                     </t>
  </si>
  <si>
    <t xml:space="preserve">APPLE/PEAR             </t>
  </si>
  <si>
    <t xml:space="preserve">CHOCOLATE/COFFEE  </t>
  </si>
  <si>
    <t xml:space="preserve">STRUCTURE                 </t>
  </si>
  <si>
    <t xml:space="preserve">MINERAL                      </t>
  </si>
  <si>
    <t xml:space="preserve">SPICY                          </t>
  </si>
  <si>
    <t xml:space="preserve">SOFT/ROUNDNESS      </t>
  </si>
  <si>
    <t>O</t>
  </si>
  <si>
    <t>Whites &amp; Rosé</t>
  </si>
  <si>
    <t>Fruit, Cider &amp; Mead</t>
  </si>
  <si>
    <t>Enhances Mouthfeel fullness</t>
  </si>
  <si>
    <t>Enhances Fruitiness</t>
  </si>
  <si>
    <t>Enhances Freshness</t>
  </si>
  <si>
    <t>Enhances Spiciness</t>
  </si>
  <si>
    <t>Enhances Structure</t>
  </si>
  <si>
    <t>Enhances Herbaceousness</t>
  </si>
  <si>
    <t>Restart or Stuck MLF</t>
  </si>
  <si>
    <t>Nutrition Demand</t>
  </si>
  <si>
    <t>Implantation</t>
  </si>
  <si>
    <t>Cinnamyl Esterase</t>
  </si>
  <si>
    <t>Negative</t>
  </si>
  <si>
    <t>Biogenic Amines</t>
  </si>
  <si>
    <t>Co–inoculation</t>
  </si>
  <si>
    <t>Recommended</t>
  </si>
  <si>
    <t>Highly Rec.</t>
  </si>
  <si>
    <t>Possible</t>
  </si>
  <si>
    <t>Day 2</t>
  </si>
  <si>
    <t>-2°B</t>
  </si>
  <si>
    <t>Pitch at 5°B</t>
  </si>
  <si>
    <t>Fast Starter,
Low aromas,
flavours, Lifting
mouthfeel, resistance to botrycides, lower perception o green &amp; vegetative flavours</t>
  </si>
  <si>
    <t>Red berry varietal character in reds, Enhance tannin structure &amp; floral notes in Merlot,
very low VA</t>
  </si>
  <si>
    <t>Light buttery
flavour &amp; body
fruit flavours 
finish, production of biogenic amines</t>
  </si>
  <si>
    <r>
      <t>Red berry fruit and very low diacetyl production, Enhanced
mouthfeel &amp;
structure, High alcohol and SO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tolerance</t>
    </r>
  </si>
  <si>
    <r>
      <t>Tannin structure, Difficult conditions of pH, alcohol and So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Suited for Pinot noir, Chardonnay</t>
    </r>
  </si>
  <si>
    <t>Very high fermentation speed, Clean and Classic flavour, Low volatile acidity. Can be added to dry wine directly</t>
  </si>
  <si>
    <t>Ethanol resistant
High Alcohol
High maturity</t>
  </si>
  <si>
    <t>Broadest Spectrum,
Secure MLF
High SO2</t>
  </si>
  <si>
    <t>ER1A low pH
Ey2D low Temp</t>
  </si>
  <si>
    <t>Low impact on
flavour, aroma,
Mouthfeel</t>
  </si>
  <si>
    <t>2023 Pinot Gris</t>
  </si>
  <si>
    <t>FERMENTATION TEMPRATURE GUIDE</t>
  </si>
  <si>
    <t>GRAPE</t>
  </si>
  <si>
    <t>Cabernet Franc</t>
  </si>
  <si>
    <t>Chardonnay</t>
  </si>
  <si>
    <t>Sangiovese</t>
  </si>
  <si>
    <t>Semillon</t>
  </si>
  <si>
    <t>Chenin Blanc</t>
  </si>
  <si>
    <t>Cab. Sauvignon</t>
  </si>
  <si>
    <t>Muscat</t>
  </si>
  <si>
    <t>BERRY</t>
  </si>
  <si>
    <t>PLUM</t>
  </si>
  <si>
    <t>SPICE</t>
  </si>
  <si>
    <t>JAM</t>
  </si>
  <si>
    <t>ROUND MOUTHFEEL</t>
  </si>
  <si>
    <t>AGREABLE TANNINS</t>
  </si>
  <si>
    <t>WHITE FRUIT</t>
  </si>
  <si>
    <t>STONE FRUIT</t>
  </si>
  <si>
    <t>CITRUS</t>
  </si>
  <si>
    <t>NUTS</t>
  </si>
  <si>
    <t>DARK FRUIT</t>
  </si>
  <si>
    <t>FLORAL</t>
  </si>
  <si>
    <t>TANNIN INTENSITY</t>
  </si>
  <si>
    <t>MID–PALATE</t>
  </si>
  <si>
    <t>BLACK PEPPER</t>
  </si>
  <si>
    <t>HIGH ALCOHOL</t>
  </si>
  <si>
    <t>STRUCTURE</t>
  </si>
  <si>
    <t>MELON / PEAR</t>
  </si>
  <si>
    <t>TROPICAL FRUIT</t>
  </si>
  <si>
    <t>RICH MOUTHFEEL</t>
  </si>
  <si>
    <t>RED FRUIT</t>
  </si>
  <si>
    <t>APPLE</t>
  </si>
  <si>
    <t>GRASSY ASPARAGUS</t>
  </si>
  <si>
    <t>VIOLET</t>
  </si>
  <si>
    <t>MINERAL</t>
  </si>
  <si>
    <t>Sauvignon Blanc</t>
  </si>
  <si>
    <t>Enhanced Varietal Character</t>
  </si>
  <si>
    <t>COLOUR STABILITY</t>
  </si>
  <si>
    <t>PEACH / APRICOT</t>
  </si>
  <si>
    <t>FLINT STONE / MINERAL</t>
  </si>
  <si>
    <t>Malbec</t>
  </si>
  <si>
    <t>ROSE STYLE</t>
  </si>
  <si>
    <t>BDX, CLOS, D21, D254, GRE, RP15, VRB</t>
  </si>
  <si>
    <t>D21, GRE, MT, RC212, VRB</t>
  </si>
  <si>
    <t>D80, RP15</t>
  </si>
  <si>
    <t xml:space="preserve">CLOS, D21, D80, DV10, RP15, </t>
  </si>
  <si>
    <t>BDX, BM45, BM4X4, CLOS, D254, RP15, VRB</t>
  </si>
  <si>
    <t>BDX, BM45, BM4X4, D254, RC212, RP15, VRB</t>
  </si>
  <si>
    <t xml:space="preserve">BDX, BM45, BM4X4, D254,D80, </t>
  </si>
  <si>
    <t>BDX, BM45, BM4X4, D254, VRB</t>
  </si>
  <si>
    <t>4600, 71B, D21, GRE, MT</t>
  </si>
  <si>
    <t>CLOS, GRE, MT, RC212, SYRAH, VRB</t>
  </si>
  <si>
    <t>BDX, BM45, BM4X4, D254, D80, VRB</t>
  </si>
  <si>
    <t>BDX, CLOS, D254, VRB</t>
  </si>
  <si>
    <t>D80, MT, RP15</t>
  </si>
  <si>
    <t>D21, RP15, SYRAH</t>
  </si>
  <si>
    <t>D80, CLOS, MT</t>
  </si>
  <si>
    <t>BM45, D21, D254</t>
  </si>
  <si>
    <t>CLOS, D21, GRE, MT,  RP15, VRB</t>
  </si>
  <si>
    <t>BDX, BM45, BM4X4, CLOS, D254, MT, RP15, VRB</t>
  </si>
  <si>
    <t>D47, D254, CY3079</t>
  </si>
  <si>
    <t>58W3, DV10, QA23, R2, W15</t>
  </si>
  <si>
    <t>BA11, D47, GRE, R2</t>
  </si>
  <si>
    <t>58W3, 71B, BA11, D47, W15</t>
  </si>
  <si>
    <t xml:space="preserve">D80,  RP15, SYRAH </t>
  </si>
  <si>
    <t>58W3, BA11, DV10, QA23</t>
  </si>
  <si>
    <t>4600, BA11, OPALE, QA23</t>
  </si>
  <si>
    <t>DV10, GRE, T306</t>
  </si>
  <si>
    <t>4600, 58W3, BA11, BM4X4, D47, GRE, OPALE</t>
  </si>
  <si>
    <t>4600, 71B, BA11, D47, OPALE,  R2</t>
  </si>
  <si>
    <t>3001, AMH, D21, RC212, RP15, W15</t>
  </si>
  <si>
    <t>BM45, BM4X4</t>
  </si>
  <si>
    <t>AMH, RP15</t>
  </si>
  <si>
    <t>3001, AMH, BM45, BM4X4, RC212, RP15</t>
  </si>
  <si>
    <t>58W3, BA11, DV10, W15</t>
  </si>
  <si>
    <t>QA23, W15</t>
  </si>
  <si>
    <t>71B, BA11, GRE, OPALE, R2</t>
  </si>
  <si>
    <t>DV10, D47</t>
  </si>
  <si>
    <t>ROSE, PEACH</t>
  </si>
  <si>
    <t>D47, R-HST, T306</t>
  </si>
  <si>
    <t>AMH, BDX, CLOS, D21, GRE, MT, SYRAH,  VRB</t>
  </si>
  <si>
    <t>BM45, BM4X4, D254, SYRAH, VRB</t>
  </si>
  <si>
    <t>D80, MT, SYRAH</t>
  </si>
  <si>
    <t>BDX, BM45, BM4X4, CLOS, D21, MT, VRB</t>
  </si>
  <si>
    <t>D21, D254, D80, CLOS, MT</t>
  </si>
  <si>
    <t>BM45, BM4X4, D21, D254, CLOS, MT, VRB</t>
  </si>
  <si>
    <t>BA11, GRE</t>
  </si>
  <si>
    <t>BA11, D47, OPALE, QA23,</t>
  </si>
  <si>
    <t>BA11, BM4X4, D47, OPALE</t>
  </si>
  <si>
    <t>BM4X4, CLOS, D21, D254, GRE, RP15, SYRAH,VRB</t>
  </si>
  <si>
    <t>D80, D254, GRE, RP15</t>
  </si>
  <si>
    <t>GRE, SYRAH</t>
  </si>
  <si>
    <t>BM4X4, D254, D80, CLOS, RP15, VRB</t>
  </si>
  <si>
    <t>BM4X4, D21, D254, D80, CLOS, RP15, VRB</t>
  </si>
  <si>
    <t xml:space="preserve">4600, BA11, D47, D254 </t>
  </si>
  <si>
    <t>58W3, D47, D254, W15</t>
  </si>
  <si>
    <t>71B, BA11, GRE, OPALE, QA23, R2, T306</t>
  </si>
  <si>
    <t>4600, BA11, BM4X4, D47, GRE, OPALE</t>
  </si>
  <si>
    <t>58W3, BA11, DV10, QA23, R2</t>
  </si>
  <si>
    <t>AMH, BDX, BM4X4, CLOS, D21, D254, RP15, SYRAH, VRB</t>
  </si>
  <si>
    <t>AMH, CLOS, D80, RP15</t>
  </si>
  <si>
    <t>AMH, BM4X4, D80, RP15</t>
  </si>
  <si>
    <t>CLOS, RP15, VRM</t>
  </si>
  <si>
    <t>BM4X4, VRB</t>
  </si>
  <si>
    <t>BM4X4, D254, SYRAH, VRB</t>
  </si>
  <si>
    <t xml:space="preserve">4600, 71B, D254, GRE, OPALE, MT, </t>
  </si>
  <si>
    <t>D21, D254, CLOS, RP15, SYRAH</t>
  </si>
  <si>
    <t>CLOS, D21, D254, D80, MT, RP15</t>
  </si>
  <si>
    <t>D47, D254, OPALE</t>
  </si>
  <si>
    <t>D21, CY3079, OPALE,  QA23, T306</t>
  </si>
  <si>
    <t>D47, DV10, OPALE</t>
  </si>
  <si>
    <t>BM4X4, D21, D47, D254, CY3079, OPALE, T306</t>
  </si>
  <si>
    <t xml:space="preserve"> DV10, GRE, OPALE,  QA23, W15</t>
  </si>
  <si>
    <t>Gewürztraminer</t>
  </si>
  <si>
    <t>GRASSY / ASPARAGUS</t>
  </si>
  <si>
    <t>YEASTS ARE LISTED IN ALPHBETICAL ORDER</t>
  </si>
  <si>
    <t>CH</t>
  </si>
  <si>
    <t>CB</t>
  </si>
  <si>
    <t>VI</t>
  </si>
  <si>
    <t>PB</t>
  </si>
  <si>
    <t>MU</t>
  </si>
  <si>
    <t>RI</t>
  </si>
  <si>
    <t>GW</t>
  </si>
  <si>
    <t>SE</t>
  </si>
  <si>
    <t>PN</t>
  </si>
  <si>
    <t>CS</t>
  </si>
  <si>
    <t>SY</t>
  </si>
  <si>
    <t>PV</t>
  </si>
  <si>
    <t>GR</t>
  </si>
  <si>
    <t>CF</t>
  </si>
  <si>
    <t>ME</t>
  </si>
  <si>
    <t>PG</t>
  </si>
  <si>
    <t>Cabernet Sauv.</t>
  </si>
  <si>
    <t>Nebbilo</t>
  </si>
  <si>
    <t>MA</t>
  </si>
  <si>
    <t>Cider</t>
  </si>
  <si>
    <t>Organic</t>
  </si>
  <si>
    <t>Colombard</t>
  </si>
  <si>
    <t>CM</t>
  </si>
  <si>
    <t>GY</t>
  </si>
  <si>
    <t>NB</t>
  </si>
  <si>
    <t>Pinot Verdot</t>
  </si>
  <si>
    <t>CL</t>
  </si>
  <si>
    <t>Pinot Blanc</t>
  </si>
  <si>
    <t xml:space="preserve">SB </t>
  </si>
  <si>
    <t>Ossia</t>
  </si>
  <si>
    <t>18—32</t>
  </si>
  <si>
    <t>White Wine</t>
  </si>
  <si>
    <t>Fruit Wine</t>
  </si>
  <si>
    <t>Carmenérè</t>
  </si>
  <si>
    <t xml:space="preserve">Optimal Temp °C  </t>
  </si>
  <si>
    <t xml:space="preserve">Cold Tolerance °C  </t>
  </si>
  <si>
    <t xml:space="preserve">Alcohol Tolerance %  </t>
  </si>
  <si>
    <t xml:space="preserve">Dosage (g/L)  </t>
  </si>
  <si>
    <t xml:space="preserve">Volatile Acidity  </t>
  </si>
  <si>
    <t xml:space="preserve">Nitrogen Requirements  </t>
  </si>
  <si>
    <t xml:space="preserve">Killer Factor  </t>
  </si>
  <si>
    <t xml:space="preserve">Flocculation  </t>
  </si>
  <si>
    <t xml:space="preserve">Foam Production  </t>
  </si>
  <si>
    <t>AL–48</t>
  </si>
  <si>
    <t>BEL–93</t>
  </si>
  <si>
    <t>VIC–23</t>
  </si>
  <si>
    <t>ADT–36</t>
  </si>
  <si>
    <t>BV–33</t>
  </si>
  <si>
    <t>BRO–58</t>
  </si>
  <si>
    <t>MTS–29</t>
  </si>
  <si>
    <t>VARIETALS</t>
  </si>
  <si>
    <t>CODE</t>
  </si>
  <si>
    <t xml:space="preserve">Glycerol  </t>
  </si>
  <si>
    <t>Red Wine</t>
  </si>
  <si>
    <t>Low—Mod.</t>
  </si>
  <si>
    <t>Mod.–High</t>
  </si>
  <si>
    <t xml:space="preserve">Conversion Factor %Bx—%ABV  </t>
  </si>
  <si>
    <t>Mod.—Fast</t>
  </si>
  <si>
    <t>0.25—0.35</t>
  </si>
  <si>
    <t>0.25—0.36</t>
  </si>
  <si>
    <t>0.25—0.37</t>
  </si>
  <si>
    <t>0.25—0.38</t>
  </si>
  <si>
    <t>0.25—0.39</t>
  </si>
  <si>
    <t>0.25—0.40</t>
  </si>
  <si>
    <t>0.25—0.41</t>
  </si>
  <si>
    <t>0.25—0.42</t>
  </si>
  <si>
    <t>0.25—.35</t>
  </si>
  <si>
    <t>FRS–66</t>
  </si>
  <si>
    <t>Fresco</t>
  </si>
  <si>
    <t>13—25</t>
  </si>
  <si>
    <t>Ice</t>
  </si>
  <si>
    <t>English</t>
  </si>
  <si>
    <t>French</t>
  </si>
  <si>
    <t>New World</t>
  </si>
  <si>
    <t>New England</t>
  </si>
  <si>
    <t>Apple Wine</t>
  </si>
  <si>
    <t>Perry</t>
  </si>
  <si>
    <t>PS</t>
  </si>
  <si>
    <t>TP</t>
  </si>
  <si>
    <t>Tempranillo</t>
  </si>
  <si>
    <t>Petit Sirah</t>
  </si>
  <si>
    <t>Gamay</t>
  </si>
  <si>
    <t>Very Little
None</t>
  </si>
  <si>
    <t>Very Low
None</t>
  </si>
  <si>
    <t>Moderate
Low</t>
  </si>
  <si>
    <r>
      <t xml:space="preserve">                                                     SO</t>
    </r>
    <r>
      <rPr>
        <b/>
        <vertAlign val="subscript"/>
        <sz val="11"/>
        <rFont val="Arial"/>
        <family val="2"/>
      </rPr>
      <t xml:space="preserve">2   </t>
    </r>
  </si>
  <si>
    <r>
      <t xml:space="preserve">                                                     H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S</t>
    </r>
  </si>
  <si>
    <t xml:space="preserve">Kinetics  </t>
  </si>
  <si>
    <t xml:space="preserve">Recommended Varietals </t>
  </si>
  <si>
    <t>ZF</t>
  </si>
  <si>
    <r>
      <rPr>
        <b/>
        <sz val="12"/>
        <color rgb="FF0000FF"/>
        <rFont val="Arial"/>
        <family val="2"/>
      </rPr>
      <t xml:space="preserve">     </t>
    </r>
    <r>
      <rPr>
        <b/>
        <sz val="12"/>
        <rFont val="Arial"/>
        <family val="2"/>
      </rPr>
      <t xml:space="preserve"> NOTE:—</t>
    </r>
    <r>
      <rPr>
        <b/>
        <sz val="12"/>
        <color rgb="FF0000FF"/>
        <rFont val="Arial"/>
        <family val="2"/>
      </rPr>
      <t xml:space="preserve"> </t>
    </r>
    <r>
      <rPr>
        <b/>
        <sz val="12"/>
        <color rgb="FF008A00"/>
        <rFont val="Arial"/>
        <family val="2"/>
      </rPr>
      <t xml:space="preserve"> EDIT GREEN CELLS</t>
    </r>
    <r>
      <rPr>
        <b/>
        <sz val="12"/>
        <color rgb="FF0000FF"/>
        <rFont val="Arial"/>
        <family val="2"/>
      </rPr>
      <t xml:space="preserve">  — THE BLUE NUMBERS ARE CALCULATED AND LOCKED</t>
    </r>
  </si>
  <si>
    <t>F</t>
  </si>
  <si>
    <t>E</t>
  </si>
  <si>
    <t xml:space="preserve">        FERMAID K, FERMAID O, SUPERFOOD DISTRIBUTION</t>
  </si>
  <si>
    <t>FERMAID O</t>
  </si>
  <si>
    <t>FERMAID K, SUPERFOOD</t>
  </si>
  <si>
    <t>PITCH</t>
  </si>
  <si>
    <t>24 HOURS</t>
  </si>
  <si>
    <t>48 HOURS</t>
  </si>
  <si>
    <t>&lt; 7 °Bx</t>
  </si>
  <si>
    <t>Fermaid O   g</t>
  </si>
  <si>
    <t>Fermaid K   g</t>
  </si>
  <si>
    <t>Superfood  g</t>
  </si>
  <si>
    <t>CUMULATIVE mgN/L</t>
  </si>
  <si>
    <t xml:space="preserve">  GoFerm</t>
  </si>
  <si>
    <t xml:space="preserve">                 SPLIT                                 %</t>
  </si>
  <si>
    <t xml:space="preserve">                 DAP                                     g</t>
  </si>
  <si>
    <t xml:space="preserve">                 DAP TOTALS             mgN/L</t>
  </si>
  <si>
    <t xml:space="preserve">                 DAP Plus ORGANIC  mgN/L</t>
  </si>
  <si>
    <t>yes</t>
  </si>
  <si>
    <t>Multiplier</t>
  </si>
  <si>
    <t>.i.e. EC 1118, K1 V1116, are rated Low by Scott Lab and was tested at 1.30, 1.40 by Sablayrolles.</t>
  </si>
  <si>
    <t>BM45 tested at 1.95 and VL1 at 2.2. respectively by J.M. Sablayrolles.</t>
  </si>
  <si>
    <r>
      <rPr>
        <b/>
        <sz val="12"/>
        <color theme="1"/>
        <rFont val="Verdana"/>
        <family val="2"/>
      </rPr>
      <t>VOLUME</t>
    </r>
    <r>
      <rPr>
        <b/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Arial Narrow"/>
        <family val="2"/>
      </rPr>
      <t>15.56°C</t>
    </r>
  </si>
  <si>
    <t>ABV           %</t>
  </si>
  <si>
    <r>
      <rPr>
        <b/>
        <sz val="12"/>
        <color rgb="FF0000FF"/>
        <rFont val="Verdana"/>
        <family val="2"/>
      </rPr>
      <t xml:space="preserve">PROOF </t>
    </r>
    <r>
      <rPr>
        <b/>
        <sz val="10"/>
        <color rgb="FF0000FF"/>
        <rFont val="Arial"/>
        <family val="2"/>
      </rPr>
      <t>at 20°C</t>
    </r>
  </si>
  <si>
    <t>ADJUNCTS TABLE</t>
  </si>
  <si>
    <t xml:space="preserve">  Cristalline Plus</t>
  </si>
  <si>
    <t xml:space="preserve"> AR2000</t>
  </si>
  <si>
    <t xml:space="preserve">       0.02—0.05 g/L</t>
  </si>
  <si>
    <t>% Alcohol</t>
  </si>
  <si>
    <t xml:space="preserve">Corrected  °Brix </t>
  </si>
  <si>
    <t xml:space="preserve">Corrected   °SG </t>
  </si>
  <si>
    <r>
      <t>H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S</t>
    </r>
  </si>
  <si>
    <r>
      <t>SO</t>
    </r>
    <r>
      <rPr>
        <b/>
        <vertAlign val="subscript"/>
        <sz val="11"/>
        <rFont val="Arial"/>
        <family val="2"/>
      </rPr>
      <t xml:space="preserve">2   </t>
    </r>
  </si>
  <si>
    <t>12275-050</t>
  </si>
  <si>
    <t>12273-050</t>
  </si>
  <si>
    <t>12276-050</t>
  </si>
  <si>
    <t>12274-050</t>
  </si>
  <si>
    <t>12278-051</t>
  </si>
  <si>
    <t>12279-050</t>
  </si>
  <si>
    <t>12272-050</t>
  </si>
  <si>
    <t>Viva</t>
  </si>
  <si>
    <t>Muse</t>
  </si>
  <si>
    <t>Avante</t>
  </si>
  <si>
    <t>12281-050</t>
  </si>
  <si>
    <t>12268-050</t>
  </si>
  <si>
    <t>12269-050</t>
  </si>
  <si>
    <t>Mod–High</t>
  </si>
  <si>
    <t>Red</t>
  </si>
  <si>
    <t>White</t>
  </si>
  <si>
    <t>ORGANIC</t>
  </si>
  <si>
    <t>Renaissance Values</t>
  </si>
  <si>
    <t>YAN LEVELS mgN/L</t>
  </si>
  <si>
    <t>at 23°Bx</t>
  </si>
  <si>
    <t>150—225</t>
  </si>
  <si>
    <t>LOW–MOD.</t>
  </si>
  <si>
    <t>225—300</t>
  </si>
  <si>
    <t>MOD—HIGH</t>
  </si>
  <si>
    <t>&gt;300</t>
  </si>
  <si>
    <t>UB</t>
  </si>
  <si>
    <t>Ugni Blanc</t>
  </si>
  <si>
    <t>Glera</t>
  </si>
  <si>
    <t>GL</t>
  </si>
  <si>
    <t>19.5 °Bx</t>
  </si>
  <si>
    <t>24 °Bx</t>
  </si>
  <si>
    <t>14–27°C (57–81°F)</t>
  </si>
  <si>
    <t>13–28°C (55–82°F)</t>
  </si>
  <si>
    <t>Whit 3.1, Red 3.3</t>
  </si>
  <si>
    <t>13-32°C (55°F-90°F)</t>
  </si>
  <si>
    <t>&gt;12</t>
  </si>
  <si>
    <t>None reqired</t>
  </si>
  <si>
    <t>no data</t>
  </si>
  <si>
    <t>16–28°C (61–82°F)</t>
  </si>
  <si>
    <t>BosaGrape SKU for 50 g</t>
  </si>
  <si>
    <t>Colomard</t>
  </si>
  <si>
    <t>Sauv. Blanc</t>
  </si>
  <si>
    <t>16.3 g/L</t>
  </si>
  <si>
    <t>16.4 g/L</t>
  </si>
  <si>
    <t>16.5 g/L</t>
  </si>
  <si>
    <t>16.8 g/L</t>
  </si>
  <si>
    <t>16.6 g/L</t>
  </si>
  <si>
    <t>MustCalc YAN multiplier</t>
  </si>
  <si>
    <r>
      <rPr>
        <sz val="14"/>
        <rFont val="Arial Black"/>
        <family val="2"/>
      </rPr>
      <t xml:space="preserve">6 </t>
    </r>
    <r>
      <rPr>
        <sz val="12"/>
        <rFont val="Verdana"/>
        <family val="2"/>
      </rPr>
      <t>MoreWine, Concord, CA, "https//morewinemaking.com/content/winemanuals", Winemaking Manuals &amp; Instructions Page"</t>
    </r>
  </si>
  <si>
    <r>
      <rPr>
        <sz val="12"/>
        <rFont val="Arial Black"/>
        <family val="2"/>
      </rPr>
      <t xml:space="preserve">14 </t>
    </r>
    <r>
      <rPr>
        <sz val="12"/>
        <rFont val="Verdana"/>
        <family val="2"/>
      </rPr>
      <t>National Bureau of Standards and based on Information published in Bulletin of the Bureau of Standards, Vol. 9, No. 3, pages  327–474, Oct. 16. 1918)</t>
    </r>
  </si>
  <si>
    <r>
      <rPr>
        <sz val="12"/>
        <color rgb="FF000000"/>
        <rFont val="Arial Black"/>
        <family val="2"/>
      </rPr>
      <t xml:space="preserve">15 </t>
    </r>
    <r>
      <rPr>
        <sz val="12"/>
        <color rgb="FF000000"/>
        <rFont val="Tahoma"/>
        <family val="2"/>
      </rPr>
      <t>INTERNATIONAL UNION OF PURE AND APPLIED CHEMISTRY, Standardization of Methods for Determination of Alcohol Content of Beverages and Distilled Potable Spurts.</t>
    </r>
  </si>
  <si>
    <t xml:space="preserve">  Vineyard:–</t>
  </si>
  <si>
    <t>AVA:–</t>
  </si>
  <si>
    <t>Picked:–</t>
  </si>
  <si>
    <t>° Brix:–</t>
  </si>
  <si>
    <t>Weight:–</t>
  </si>
  <si>
    <t>Cost:–</t>
  </si>
  <si>
    <t>Aromatic notes</t>
  </si>
  <si>
    <t>Very clean aromas of pear, apple citrus &amp; fresh pineapple</t>
  </si>
  <si>
    <t>Delicate hints of tropical fruit &amp; white fruit</t>
  </si>
  <si>
    <t>Tropical, Citrus, Floral, Terpene aromas</t>
  </si>
  <si>
    <t>Peach, Quince, Tropical fruits, Pear, White flowers Long palate &amp; structure</t>
  </si>
  <si>
    <t>Thiol precursors, Guava, Passion fruit, Gooseberry, Blackcurrant, Tropical &amp; yellow fruits</t>
  </si>
  <si>
    <t>Red fruits such as cherries and strawberries and black fruits, such as plums</t>
  </si>
  <si>
    <t>Ethyl esters from black fruit to red fruit, with accentuated spicy notes.</t>
  </si>
  <si>
    <t>Raspberry, strawberry, cherry and red plum. Young wines with fruity aromas. Balance between aromatic power and structure.</t>
  </si>
  <si>
    <t>Prominent aromas are black fruits particularly blueberry and plum.</t>
  </si>
  <si>
    <t>Refreshing aromas distinct and intense notes of red apple, pear and citrus.</t>
  </si>
  <si>
    <r>
      <rPr>
        <b/>
        <sz val="14"/>
        <rFont val="Arial Black"/>
        <family val="2"/>
      </rPr>
      <t>1</t>
    </r>
    <r>
      <rPr>
        <sz val="12"/>
        <rFont val="Arial Black"/>
        <family val="2"/>
      </rPr>
      <t xml:space="preserve"> </t>
    </r>
    <r>
      <rPr>
        <sz val="12"/>
        <rFont val="Verdana"/>
        <family val="2"/>
      </rPr>
      <t>Pambianchi, Daniel "Modern Home Winemaking: A Guide to Making Consistently Great Wines (2021), Vehicule Press, Montreal, QC</t>
    </r>
  </si>
  <si>
    <r>
      <rPr>
        <b/>
        <sz val="14"/>
        <rFont val="Arial Black"/>
        <family val="2"/>
      </rPr>
      <t xml:space="preserve">2 </t>
    </r>
    <r>
      <rPr>
        <sz val="12"/>
        <rFont val="Verdana"/>
        <family val="2"/>
      </rPr>
      <t>Iland, Patrick, et al, "Techniques and Methods for Chemical, Physical and Sensory Analysis and Tests (2021),</t>
    </r>
    <r>
      <rPr>
        <sz val="12"/>
        <rFont val="Tahoma"/>
        <family val="2"/>
      </rPr>
      <t xml:space="preserve"> Patrick Iland Wine Promotions Pty, Adelaide, Australia
</t>
    </r>
  </si>
  <si>
    <r>
      <rPr>
        <sz val="14"/>
        <rFont val="Arial Black"/>
        <family val="2"/>
      </rPr>
      <t>4</t>
    </r>
    <r>
      <rPr>
        <sz val="12"/>
        <rFont val="Arial Black"/>
        <family val="2"/>
      </rPr>
      <t xml:space="preserve"> </t>
    </r>
    <r>
      <rPr>
        <sz val="12"/>
        <rFont val="Verdana"/>
        <family val="2"/>
      </rPr>
      <t>Zoecklein, Bruce, et al, "Wine Analysis and Production" (1995), Aspen Publishers, Gaithersburg, Maryland</t>
    </r>
  </si>
  <si>
    <r>
      <rPr>
        <sz val="14"/>
        <rFont val="Arial Black"/>
        <family val="2"/>
      </rPr>
      <t xml:space="preserve">5 </t>
    </r>
    <r>
      <rPr>
        <sz val="12"/>
        <rFont val="Verdana"/>
        <family val="2"/>
      </rPr>
      <t>Scott Laboratories, "2024 Fermentation Handbook", Petaluma, CA</t>
    </r>
  </si>
  <si>
    <r>
      <rPr>
        <sz val="14"/>
        <rFont val="Arial Black"/>
        <family val="2"/>
      </rPr>
      <t xml:space="preserve">7 </t>
    </r>
    <r>
      <rPr>
        <sz val="12"/>
        <rFont val="Verdana"/>
        <family val="2"/>
      </rPr>
      <t>Duncan, Peter and Acton, Bryan "Progressive Winemaking" (1967), The Amateur Winemaker, Andover, UK</t>
    </r>
  </si>
  <si>
    <r>
      <rPr>
        <sz val="14"/>
        <rFont val="Arial Black"/>
        <family val="2"/>
      </rPr>
      <t xml:space="preserve">8 </t>
    </r>
    <r>
      <rPr>
        <sz val="12"/>
        <rFont val="Verdana"/>
        <family val="2"/>
      </rPr>
      <t>Mitchell, J.R. "Scientific Winemaking—Made Easy" (1969), The Amateur Winemaker, Andover, UK</t>
    </r>
  </si>
  <si>
    <r>
      <rPr>
        <sz val="14"/>
        <rFont val="Arial Black"/>
        <family val="2"/>
      </rPr>
      <t xml:space="preserve">9 </t>
    </r>
    <r>
      <rPr>
        <sz val="12"/>
        <rFont val="Verdana"/>
        <family val="2"/>
      </rPr>
      <t>Margalit, Yair, "Winery Technology &amp; Operations: A Handbook for Small Wineries” (1996), Wine Appreciation Guild, San Francisco, CA</t>
    </r>
  </si>
  <si>
    <r>
      <rPr>
        <sz val="14"/>
        <rFont val="Arial Black"/>
        <family val="2"/>
      </rPr>
      <t>10</t>
    </r>
    <r>
      <rPr>
        <sz val="12"/>
        <rFont val="Arial Black"/>
        <family val="2"/>
      </rPr>
      <t xml:space="preserve"> </t>
    </r>
    <r>
      <rPr>
        <sz val="12"/>
        <rFont val="Verdana"/>
        <family val="2"/>
      </rPr>
      <t>Amerine, M.A. and Ough, C.S., "Wine and Must Analysis" (1974), John Wiley &amp; Sons</t>
    </r>
  </si>
  <si>
    <r>
      <rPr>
        <sz val="14"/>
        <rFont val="Arial Black"/>
        <family val="2"/>
      </rPr>
      <t>11</t>
    </r>
    <r>
      <rPr>
        <sz val="12"/>
        <rFont val="Arial Black"/>
        <family val="2"/>
      </rPr>
      <t xml:space="preserve"> </t>
    </r>
    <r>
      <rPr>
        <sz val="12"/>
        <rFont val="Verdana"/>
        <family val="2"/>
      </rPr>
      <t>Amerine, M.A., Berg, H.W., Cruess,W.V., "The Technology of Wine Making" (1972), The AVI Publishing Co., Inc., Westport, Connecticut</t>
    </r>
  </si>
  <si>
    <r>
      <rPr>
        <sz val="14"/>
        <rFont val="Arial Black"/>
        <family val="2"/>
      </rPr>
      <t xml:space="preserve">12 </t>
    </r>
    <r>
      <rPr>
        <sz val="12"/>
        <rFont val="Verdana"/>
        <family val="2"/>
      </rPr>
      <t>Iverson, Jon, "Home Winemaking Step By Step: A Guide to Fermenting Wine Grapes" (2009), Stonemark Publishing, US</t>
    </r>
  </si>
  <si>
    <r>
      <rPr>
        <sz val="14"/>
        <rFont val="Arial Black"/>
        <family val="2"/>
      </rPr>
      <t xml:space="preserve">13 </t>
    </r>
    <r>
      <rPr>
        <sz val="12"/>
        <rFont val="Verdana"/>
        <family val="2"/>
      </rPr>
      <t>Lundy, Desmond, "Leisure Winemaking" (1978), Detselig Enterprises, Calgary, AL</t>
    </r>
  </si>
  <si>
    <r>
      <rPr>
        <sz val="14"/>
        <rFont val="Arial Black"/>
        <family val="2"/>
      </rPr>
      <t xml:space="preserve">3 </t>
    </r>
    <r>
      <rPr>
        <sz val="12"/>
        <rFont val="Verdana"/>
        <family val="2"/>
      </rPr>
      <t>Iland, Patrick, et al, "Theory and Concepts of Chemical, Physical and Sensory Analyses and Tests of grapes and wine" (2021),</t>
    </r>
    <r>
      <rPr>
        <sz val="12"/>
        <rFont val="Arial Narrow"/>
        <family val="2"/>
      </rPr>
      <t xml:space="preserve"> Patrick Iland Wine Promotions Pty, Adelaide, Australia</t>
    </r>
  </si>
  <si>
    <t>Removes 25—30%
Malic Acid</t>
  </si>
  <si>
    <t>Med-High</t>
  </si>
  <si>
    <t>Time (24h)     i.e. 19.30</t>
  </si>
  <si>
    <t>Days</t>
  </si>
  <si>
    <t>Hours</t>
  </si>
  <si>
    <t xml:space="preserve">  Alliance</t>
  </si>
  <si>
    <t>0.1—0.3 g/L</t>
  </si>
  <si>
    <t>0.01—0.5 g/L</t>
  </si>
  <si>
    <t>0.3—0.4 g/L</t>
  </si>
  <si>
    <t>0.2 g/L</t>
  </si>
  <si>
    <t>0.05—0.2 g/L</t>
  </si>
  <si>
    <t>0.05—0.3 g/L</t>
  </si>
  <si>
    <t>0.03—0.2 g/L</t>
  </si>
  <si>
    <t>0.5 g/L</t>
  </si>
  <si>
    <t>0.3—0.7 g/L</t>
  </si>
  <si>
    <t>Alcohol Tolerance</t>
  </si>
  <si>
    <t>Suitable for Barrel Ferm.</t>
  </si>
  <si>
    <r>
      <t>No—Low H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S, SO</t>
    </r>
    <r>
      <rPr>
        <b/>
        <vertAlign val="subscript"/>
        <sz val="12"/>
        <rFont val="Arial"/>
        <family val="2"/>
      </rPr>
      <t>2</t>
    </r>
  </si>
  <si>
    <t>MLF Compatibility</t>
  </si>
  <si>
    <t>Grassy (Thiols)</t>
  </si>
  <si>
    <t>Citrus (Esters &amp; Thiols)</t>
  </si>
  <si>
    <t>Floral</t>
  </si>
  <si>
    <t>Nutty</t>
  </si>
  <si>
    <t>Spicy</t>
  </si>
  <si>
    <t>Aromatic Whites</t>
  </si>
  <si>
    <t>Sauvignon blanc</t>
  </si>
  <si>
    <t>Rhône Style Wites</t>
  </si>
  <si>
    <t xml:space="preserve">Rosè  </t>
  </si>
  <si>
    <t>ATTRIBUTES</t>
  </si>
  <si>
    <t>SINSORY</t>
  </si>
  <si>
    <t>VERIETAL
COPATIILITY</t>
  </si>
  <si>
    <t>YAN Requirements</t>
  </si>
  <si>
    <t>Temp. Range (°C)</t>
  </si>
  <si>
    <t>Fruity (Esters)</t>
  </si>
  <si>
    <t>Troptcal (Thiols)</t>
  </si>
  <si>
    <t>YAN
Requirements</t>
  </si>
  <si>
    <t>Suitable for Bareel
Fermentation</t>
  </si>
  <si>
    <t>MLF
Compatibility</t>
  </si>
  <si>
    <t>Grassy
(Thiols)</t>
  </si>
  <si>
    <t>Citrus
(Esters &amp; Thiols)</t>
  </si>
  <si>
    <t>Aromatic
Whites</t>
  </si>
  <si>
    <t>Sauvignon
blanc</t>
  </si>
  <si>
    <t>Rhone Style
Whites</t>
  </si>
  <si>
    <t>Fruity
(Esters)</t>
  </si>
  <si>
    <t>Tropical 
(Thiols)</t>
  </si>
  <si>
    <t>BA11</t>
  </si>
  <si>
    <t>BRG</t>
  </si>
  <si>
    <t>12—25</t>
  </si>
  <si>
    <t>Very good</t>
  </si>
  <si>
    <t>Rosè</t>
  </si>
  <si>
    <r>
      <t>No—Low 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S, SO</t>
    </r>
    <r>
      <rPr>
        <b/>
        <vertAlign val="subscript"/>
        <sz val="10"/>
        <rFont val="Arial"/>
        <family val="2"/>
      </rPr>
      <t>2</t>
    </r>
  </si>
  <si>
    <t>VIN 13</t>
  </si>
  <si>
    <t>15—25</t>
  </si>
  <si>
    <t>15—29</t>
  </si>
  <si>
    <t>18—28</t>
  </si>
  <si>
    <t>10—35</t>
  </si>
  <si>
    <t>10—30</t>
  </si>
  <si>
    <t>12—28</t>
  </si>
  <si>
    <t>13—22</t>
  </si>
  <si>
    <t>12—16</t>
  </si>
  <si>
    <t>10—27</t>
  </si>
  <si>
    <t>Suitable for Restarting Stuck Ferm.</t>
  </si>
  <si>
    <t>Cocoa/Caramel</t>
  </si>
  <si>
    <t>Freshness</t>
  </si>
  <si>
    <t>Fruit (Black)</t>
  </si>
  <si>
    <t>Fruit (Red)</t>
  </si>
  <si>
    <t>Fruit (Jammy)</t>
  </si>
  <si>
    <t>Savory</t>
  </si>
  <si>
    <t>Mouthfeel Impact</t>
  </si>
  <si>
    <t>Minimizes Herbaceousness</t>
  </si>
  <si>
    <t>Cabernet Sauvgnon</t>
  </si>
  <si>
    <t>Light –bodied Reds</t>
  </si>
  <si>
    <t>Medium–bodied Reds</t>
  </si>
  <si>
    <t>Full–bodid Reds</t>
  </si>
  <si>
    <t>VARIETAL 
COMPATIBILITY</t>
  </si>
  <si>
    <t>CLOS</t>
  </si>
  <si>
    <t>SYRAH</t>
  </si>
  <si>
    <t>RED WINE YEAST</t>
  </si>
  <si>
    <t>Alcohol</t>
  </si>
  <si>
    <t>Temp.</t>
  </si>
  <si>
    <t>MLF</t>
  </si>
  <si>
    <t>Min. Herb.</t>
  </si>
  <si>
    <t>Cabernet Sauv</t>
  </si>
  <si>
    <t>13—35</t>
  </si>
  <si>
    <t>Med—High</t>
  </si>
  <si>
    <t>WHITE WINE
YEAST</t>
  </si>
  <si>
    <t>Restart
Ferment</t>
  </si>
  <si>
    <t>Cocoa/
Caramel</t>
  </si>
  <si>
    <t>Fruit 
(Jammay)</t>
  </si>
  <si>
    <t>Fruit 
(Black)</t>
  </si>
  <si>
    <t>Fruit 
(Red)</t>
  </si>
  <si>
    <t>Light bodied 
Reds</t>
  </si>
  <si>
    <t>Medium bodied 
Reds</t>
  </si>
  <si>
    <t>Full bodied 
Reds</t>
  </si>
  <si>
    <t>12—32</t>
  </si>
  <si>
    <t>18—30</t>
  </si>
  <si>
    <t>13—32</t>
  </si>
  <si>
    <t>15—32</t>
  </si>
  <si>
    <t>20—30</t>
  </si>
  <si>
    <t>YEAST for RED WINE</t>
  </si>
  <si>
    <t>YEAST for WHITE WINE</t>
  </si>
  <si>
    <t>Maréchal Foch</t>
  </si>
  <si>
    <t>Lallemand
ML Prime</t>
  </si>
  <si>
    <t>20–26°C (68–80°F)</t>
  </si>
  <si>
    <t>Very Fast</t>
  </si>
  <si>
    <t>Highly Recommeded</t>
  </si>
  <si>
    <t>Lactiplantibacillus plantarum completes MLF in 3–10 days. Add 24 hrs after yeast addition. Does not produce biogenic amines.</t>
  </si>
  <si>
    <t>Scott Lab "Winemaking Handbook 2025/2026", pg16–21</t>
  </si>
  <si>
    <r>
      <t>Potential
H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S</t>
    </r>
  </si>
  <si>
    <r>
      <t>High SO</t>
    </r>
    <r>
      <rPr>
        <vertAlign val="subscript"/>
        <sz val="12"/>
        <rFont val="Arial"/>
        <family val="2"/>
      </rPr>
      <t>2</t>
    </r>
  </si>
  <si>
    <r>
      <t>Low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S</t>
    </r>
  </si>
  <si>
    <r>
      <t>Low VA &amp; SO</t>
    </r>
    <r>
      <rPr>
        <vertAlign val="subscript"/>
        <sz val="12"/>
        <rFont val="Arial"/>
        <family val="2"/>
      </rPr>
      <t>2</t>
    </r>
  </si>
  <si>
    <r>
      <t xml:space="preserve">GRAPE / YEAST PAIRINGS, </t>
    </r>
    <r>
      <rPr>
        <b/>
        <sz val="12"/>
        <rFont val="Arial"/>
        <family val="2"/>
      </rPr>
      <t>Lallemand, Oenology Portfolio, 2020</t>
    </r>
  </si>
  <si>
    <t>0.08—0.23 g/Lb</t>
  </si>
  <si>
    <t>0.01—0.013 g/Lb</t>
  </si>
  <si>
    <t>0.008—0.013 g/Lb</t>
  </si>
  <si>
    <t>0.10—0.3 g/L</t>
  </si>
  <si>
    <t>0.2—0.4 g/L</t>
  </si>
  <si>
    <t>0.3 g/L</t>
  </si>
  <si>
    <t>0.15—0.3 g/L</t>
  </si>
  <si>
    <t>0.3—0.5 g/L</t>
  </si>
  <si>
    <t xml:space="preserve">  Bactiless</t>
  </si>
  <si>
    <t>0.1—0.5 g/L</t>
  </si>
  <si>
    <t>0.008–0.01 g/Lb</t>
  </si>
  <si>
    <t>0.008—0.015 mL/Lb</t>
  </si>
  <si>
    <t>0.008–0.015 mL/Lb</t>
  </si>
  <si>
    <t>Scott Lab Winemaking Handbook</t>
  </si>
  <si>
    <r>
      <t xml:space="preserve">MALOLACTIC CULTURES
</t>
    </r>
    <r>
      <rPr>
        <b/>
        <sz val="12"/>
        <rFont val="Arial"/>
        <family val="2"/>
      </rPr>
      <t>Scott Labs 2024 Winemaking Handbook</t>
    </r>
    <r>
      <rPr>
        <b/>
        <sz val="14"/>
        <rFont val="Arial"/>
        <family val="2"/>
      </rPr>
      <t xml:space="preserve">
</t>
    </r>
  </si>
  <si>
    <t>Reference:— Australian Wine Research Institute</t>
  </si>
  <si>
    <t>EXAMPLE</t>
  </si>
  <si>
    <t>Desired minimum temperature</t>
  </si>
  <si>
    <t>Desired maximum temperature</t>
  </si>
  <si>
    <t>Desired minimum brix decrease per day</t>
  </si>
  <si>
    <t>Desired maximum brix decrease per day</t>
  </si>
  <si>
    <t>Enter start date</t>
  </si>
  <si>
    <t>Comments/ Additions</t>
  </si>
  <si>
    <t>Minimum Temperature</t>
  </si>
  <si>
    <t>Maximum temperature</t>
  </si>
  <si>
    <t>Daily minimum SG decrease</t>
  </si>
  <si>
    <t>Daily maximum SG decrease</t>
  </si>
  <si>
    <t>SG</t>
  </si>
  <si>
    <t>i.e &gt; 0.024 S.G. decrease per day could be considered a fast ferment</t>
  </si>
  <si>
    <t>Temperature (ºC)</t>
  </si>
  <si>
    <t xml:space="preserve">ID:   </t>
  </si>
  <si>
    <t xml:space="preserve">Yeast strain:   </t>
  </si>
  <si>
    <t>Date
(dd/mm/yy)</t>
  </si>
  <si>
    <t>i.e. a generally accepted rate of 0.007 S.G. decrease per day is often desired.</t>
  </si>
  <si>
    <t xml:space="preserve">RE–HYDRATION CALCULATOR / MUST BLENDING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</si>
</sst>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$&quot;* #,##0.00_-;\-&quot;$&quot;* #,##0.00_-;_-&quot;$&quot;* &quot;-&quot;??_-;_-@_-"/>
    <numFmt numFmtId="164" formatCode="0.00000"/>
    <numFmt numFmtId="165" formatCode="[$-1009]d/mmm/yy;@"/>
    <numFmt numFmtId="166" formatCode="\$#,##0.00"/>
    <numFmt numFmtId="167" formatCode="0.0"/>
    <numFmt numFmtId="168" formatCode="0.000"/>
    <numFmt numFmtId="169" formatCode="_-\$* #,##0.00_-;&quot;-$&quot;* #,##0.00_-;_-\$* \-??_-;_-@_-"/>
    <numFmt numFmtId="170" formatCode="0.0000"/>
    <numFmt numFmtId="171" formatCode="&quot;&quot;;&quot;&quot;;&quot;&quot;;&quot;&quot;"/>
    <numFmt numFmtId="172" formatCode=";;;"/>
    <numFmt numFmtId="173" formatCode="hh:mm:ss;@"/>
    <numFmt numFmtId="174" formatCode="dd/mmm"/>
    <numFmt numFmtId="175" formatCode="_(* #,##0.00_);_(* \(#,##0.00\);_(* &quot;-&quot;??_);_(@_)"/>
    <numFmt numFmtId="176" formatCode="[&lt;=9999999]###\-####;###\-###\-####"/>
  </numFmts>
  <fonts count="104" x14ac:knownFonts="1">
    <font>
      <sz val="10"/>
      <name val="Arial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4"/>
      <name val="Arial Narrow"/>
      <family val="2"/>
    </font>
    <font>
      <sz val="14"/>
      <name val="Arial"/>
      <family val="2"/>
    </font>
    <font>
      <b/>
      <sz val="14"/>
      <color theme="1"/>
      <name val="Verdana"/>
      <family val="2"/>
    </font>
    <font>
      <b/>
      <sz val="14"/>
      <color rgb="FF0000FF"/>
      <name val="Arial"/>
      <family val="2"/>
    </font>
    <font>
      <b/>
      <sz val="12"/>
      <color rgb="FF008A00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b/>
      <sz val="10"/>
      <color rgb="FF060CFA"/>
      <name val="Arial"/>
      <family val="2"/>
    </font>
    <font>
      <b/>
      <sz val="11"/>
      <name val="Arial"/>
      <family val="2"/>
    </font>
    <font>
      <b/>
      <sz val="12"/>
      <color rgb="FF060CFA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Arial"/>
      <family val="2"/>
    </font>
    <font>
      <sz val="12"/>
      <color rgb="FF000000"/>
      <name val="Tahoma"/>
      <family val="2"/>
    </font>
    <font>
      <b/>
      <sz val="12"/>
      <name val="Verdana"/>
      <family val="2"/>
    </font>
    <font>
      <sz val="11"/>
      <name val="Arial"/>
      <family val="2"/>
    </font>
    <font>
      <sz val="11"/>
      <color rgb="FF000000"/>
      <name val="Tahoma"/>
      <family val="2"/>
    </font>
    <font>
      <b/>
      <sz val="12"/>
      <color rgb="FFC00000"/>
      <name val="Arial"/>
      <family val="2"/>
    </font>
    <font>
      <b/>
      <sz val="12"/>
      <color theme="3" tint="0.39988402966399123"/>
      <name val="Arial"/>
      <family val="2"/>
    </font>
    <font>
      <b/>
      <sz val="11"/>
      <color rgb="FF060CFA"/>
      <name val="Arial"/>
      <family val="2"/>
    </font>
    <font>
      <b/>
      <sz val="11"/>
      <color rgb="FF0000FF"/>
      <name val="Arial"/>
      <family val="2"/>
    </font>
    <font>
      <b/>
      <sz val="14"/>
      <color rgb="FF060CFA"/>
      <name val="Arial"/>
      <family val="2"/>
    </font>
    <font>
      <b/>
      <sz val="18"/>
      <color rgb="FF060CFA"/>
      <name val="Arial"/>
      <family val="2"/>
    </font>
    <font>
      <b/>
      <sz val="10"/>
      <color rgb="FF0000FF"/>
      <name val="Arial"/>
      <family val="2"/>
    </font>
    <font>
      <sz val="10"/>
      <color theme="3"/>
      <name val="Arial"/>
      <family val="2"/>
    </font>
    <font>
      <b/>
      <sz val="12"/>
      <name val="Arial Narrow"/>
      <family val="2"/>
    </font>
    <font>
      <sz val="10"/>
      <color rgb="FF002060"/>
      <name val="Arial"/>
      <family val="2"/>
    </font>
    <font>
      <b/>
      <sz val="12"/>
      <color rgb="FF00990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b/>
      <sz val="10"/>
      <color theme="6" tint="-0.249977111117893"/>
      <name val="Arial"/>
      <family val="2"/>
    </font>
    <font>
      <b/>
      <sz val="12"/>
      <color rgb="FF0000FF"/>
      <name val="Verdana"/>
      <family val="2"/>
    </font>
    <font>
      <b/>
      <vertAlign val="subscript"/>
      <sz val="12"/>
      <name val="Arial"/>
      <family val="2"/>
    </font>
    <font>
      <b/>
      <sz val="12"/>
      <color rgb="FFBC0000"/>
      <name val="Arial"/>
      <family val="2"/>
    </font>
    <font>
      <b/>
      <vertAlign val="subscript"/>
      <sz val="12"/>
      <color rgb="FF002570"/>
      <name val="Arial"/>
      <family val="2"/>
    </font>
    <font>
      <b/>
      <sz val="12"/>
      <color rgb="FF002570"/>
      <name val="Arial"/>
      <family val="2"/>
    </font>
    <font>
      <sz val="10"/>
      <color rgb="FF060CFA"/>
      <name val="Tahoma"/>
      <family val="2"/>
    </font>
    <font>
      <sz val="12"/>
      <name val="Arial Narrow"/>
      <family val="2"/>
    </font>
    <font>
      <sz val="10"/>
      <name val="Tahoma"/>
      <family val="2"/>
    </font>
    <font>
      <b/>
      <vertAlign val="subscript"/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 Narrow"/>
      <family val="2"/>
    </font>
    <font>
      <sz val="12"/>
      <name val="Verdana"/>
      <family val="2"/>
    </font>
    <font>
      <sz val="12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b/>
      <sz val="11"/>
      <color rgb="FF0000FF"/>
      <name val="Verdana"/>
      <family val="2"/>
    </font>
    <font>
      <sz val="9"/>
      <name val="Arial"/>
      <family val="2"/>
    </font>
    <font>
      <b/>
      <sz val="12"/>
      <color rgb="FF000000"/>
      <name val="Tahoma"/>
      <family val="2"/>
    </font>
    <font>
      <b/>
      <sz val="9"/>
      <color rgb="FF000000"/>
      <name val="Tahoma"/>
      <family val="2"/>
    </font>
    <font>
      <vertAlign val="subscript"/>
      <sz val="12"/>
      <color rgb="FF000000"/>
      <name val="Tahoma"/>
      <family val="2"/>
    </font>
    <font>
      <sz val="14"/>
      <color rgb="FF000000"/>
      <name val="Arial"/>
      <family val="2"/>
    </font>
    <font>
      <b/>
      <sz val="10"/>
      <color rgb="FF000000"/>
      <name val="Tahoma"/>
      <family val="2"/>
    </font>
    <font>
      <sz val="12"/>
      <color rgb="FF000000"/>
      <name val="Arial"/>
      <family val="2"/>
    </font>
    <font>
      <sz val="9"/>
      <color rgb="FF000000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name val="Verdana"/>
      <family val="2"/>
    </font>
    <font>
      <b/>
      <vertAlign val="subscript"/>
      <sz val="11"/>
      <color theme="1"/>
      <name val="Arial"/>
      <family val="2"/>
    </font>
    <font>
      <sz val="11"/>
      <color theme="1"/>
      <name val="Arial Narrow"/>
      <family val="2"/>
    </font>
    <font>
      <b/>
      <sz val="9"/>
      <color indexed="81"/>
      <name val="Tahoma"/>
      <family val="2"/>
    </font>
    <font>
      <vertAlign val="subscript"/>
      <sz val="12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1"/>
      <name val="Arial Narrow"/>
      <family val="2"/>
    </font>
    <font>
      <b/>
      <vertAlign val="subscript"/>
      <sz val="11"/>
      <name val="Arial"/>
      <family val="2"/>
    </font>
    <font>
      <sz val="12"/>
      <color rgb="FF060CFA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rgb="FF000000"/>
      <name val="Arial Narrow"/>
      <family val="2"/>
    </font>
    <font>
      <b/>
      <sz val="16"/>
      <color theme="1"/>
      <name val="Verdana"/>
      <family val="2"/>
    </font>
    <font>
      <b/>
      <sz val="10"/>
      <color rgb="FF002060"/>
      <name val="Arial"/>
      <family val="2"/>
    </font>
    <font>
      <sz val="11"/>
      <name val="Arial Narrow"/>
      <family val="2"/>
    </font>
    <font>
      <b/>
      <sz val="16"/>
      <name val="Charlesworth"/>
      <family val="5"/>
    </font>
    <font>
      <b/>
      <sz val="11"/>
      <color indexed="81"/>
      <name val="Arial"/>
      <family val="2"/>
    </font>
    <font>
      <sz val="12"/>
      <name val="Arial Black"/>
      <family val="2"/>
    </font>
    <font>
      <b/>
      <sz val="14"/>
      <name val="Arial Black"/>
      <family val="2"/>
    </font>
    <font>
      <sz val="14"/>
      <name val="Arial Black"/>
      <family val="2"/>
    </font>
    <font>
      <sz val="12"/>
      <color rgb="FF000000"/>
      <name val="Arial Black"/>
      <family val="2"/>
    </font>
    <font>
      <b/>
      <sz val="12"/>
      <color rgb="FF000000"/>
      <name val="Arial Black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0"/>
      <color rgb="FF0558FF"/>
      <name val="Arial"/>
      <family val="2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89013336588644"/>
        <bgColor rgb="FFF5FFEB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DE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FEE8"/>
        <bgColor indexed="64"/>
      </patternFill>
    </fill>
    <fill>
      <patternFill patternType="solid">
        <fgColor rgb="FFF5FFEB"/>
        <bgColor rgb="FFEBF1DE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3FDB9"/>
        <bgColor indexed="64"/>
      </patternFill>
    </fill>
    <fill>
      <patternFill patternType="solid">
        <fgColor rgb="FFFC8E91"/>
        <bgColor indexed="64"/>
      </patternFill>
    </fill>
  </fills>
  <borders count="26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2060"/>
      </bottom>
      <diagonal/>
    </border>
    <border>
      <left/>
      <right style="thin">
        <color auto="1"/>
      </right>
      <top style="thin">
        <color rgb="FF002060"/>
      </top>
      <bottom style="thin">
        <color rgb="FF00206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rgb="FF339933"/>
      </left>
      <right style="thick">
        <color rgb="FF339933"/>
      </right>
      <top style="thick">
        <color rgb="FF339933"/>
      </top>
      <bottom style="thick">
        <color rgb="FF33993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rgb="FF002060"/>
      </bottom>
      <diagonal/>
    </border>
    <border>
      <left style="thick">
        <color rgb="FF009900"/>
      </left>
      <right style="thick">
        <color rgb="FF009900"/>
      </right>
      <top style="thick">
        <color rgb="FF009900"/>
      </top>
      <bottom style="thick">
        <color rgb="FF009900"/>
      </bottom>
      <diagonal/>
    </border>
    <border>
      <left/>
      <right style="thin">
        <color rgb="FF002060"/>
      </right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rgb="FF002060"/>
      </bottom>
      <diagonal/>
    </border>
    <border>
      <left style="thin">
        <color auto="1"/>
      </left>
      <right/>
      <top/>
      <bottom style="thin">
        <color rgb="FF002060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ck">
        <color rgb="FFC00000"/>
      </bottom>
      <diagonal/>
    </border>
    <border>
      <left style="thin">
        <color auto="1"/>
      </left>
      <right style="thin">
        <color auto="1"/>
      </right>
      <top style="thick">
        <color rgb="FF0099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ck">
        <color rgb="FFC00000"/>
      </left>
      <right/>
      <top style="thin">
        <color auto="1"/>
      </top>
      <bottom style="thin">
        <color auto="1"/>
      </bottom>
      <diagonal/>
    </border>
    <border>
      <left/>
      <right style="thick">
        <color rgb="FFC00000"/>
      </right>
      <top/>
      <bottom style="double">
        <color auto="1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 style="double">
        <color auto="1"/>
      </top>
      <bottom style="thick">
        <color rgb="FFC00000"/>
      </bottom>
      <diagonal/>
    </border>
    <border>
      <left/>
      <right/>
      <top/>
      <bottom style="thick">
        <color rgb="FF009900"/>
      </bottom>
      <diagonal/>
    </border>
    <border>
      <left style="thick">
        <color rgb="FF009900"/>
      </left>
      <right style="thick">
        <color rgb="FF009900"/>
      </right>
      <top style="thick">
        <color rgb="FF009900"/>
      </top>
      <bottom style="thin">
        <color auto="1"/>
      </bottom>
      <diagonal/>
    </border>
    <border>
      <left style="thick">
        <color rgb="FF0099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9900"/>
      </right>
      <top style="thin">
        <color indexed="64"/>
      </top>
      <bottom style="thin">
        <color indexed="64"/>
      </bottom>
      <diagonal/>
    </border>
    <border>
      <left style="thick">
        <color rgb="FF009900"/>
      </left>
      <right/>
      <top style="thin">
        <color indexed="64"/>
      </top>
      <bottom style="thick">
        <color rgb="FF002060"/>
      </bottom>
      <diagonal/>
    </border>
    <border>
      <left/>
      <right style="thick">
        <color rgb="FF009900"/>
      </right>
      <top style="thin">
        <color indexed="64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00FF"/>
      </left>
      <right/>
      <top style="thin">
        <color auto="1"/>
      </top>
      <bottom style="thin">
        <color indexed="64"/>
      </bottom>
      <diagonal/>
    </border>
    <border>
      <left/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/>
      <top style="thin">
        <color auto="1"/>
      </top>
      <bottom style="thick">
        <color rgb="FFC00000"/>
      </bottom>
      <diagonal/>
    </border>
    <border>
      <left/>
      <right style="thick">
        <color rgb="FF0000FF"/>
      </right>
      <top style="thin">
        <color auto="1"/>
      </top>
      <bottom/>
      <diagonal/>
    </border>
    <border>
      <left style="thick">
        <color rgb="FFC00000"/>
      </left>
      <right/>
      <top style="thick">
        <color rgb="FFC00000"/>
      </top>
      <bottom style="thin">
        <color auto="1"/>
      </bottom>
      <diagonal/>
    </border>
    <border>
      <left/>
      <right style="thick">
        <color rgb="FFC00000"/>
      </right>
      <top style="thick">
        <color rgb="FFC00000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/>
      <diagonal/>
    </border>
    <border>
      <left style="thick">
        <color rgb="FFC00000"/>
      </left>
      <right/>
      <top style="thin">
        <color auto="1"/>
      </top>
      <bottom style="thick">
        <color rgb="FFC00000"/>
      </bottom>
      <diagonal/>
    </border>
    <border>
      <left/>
      <right/>
      <top style="thin">
        <color auto="1"/>
      </top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rgb="FF002060"/>
      </left>
      <right style="medium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2060"/>
      </left>
      <right style="thin">
        <color rgb="FF002060"/>
      </right>
      <top style="thin">
        <color auto="1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rgb="FF002060"/>
      </top>
      <bottom/>
      <diagonal/>
    </border>
    <border>
      <left style="thin">
        <color rgb="FF002060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rgb="FF002060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 style="hair">
        <color rgb="FF4260F8"/>
      </left>
      <right style="hair">
        <color rgb="FF4260F8"/>
      </right>
      <top style="hair">
        <color rgb="FF4260F8"/>
      </top>
      <bottom style="hair">
        <color rgb="FF4260F8"/>
      </bottom>
      <diagonal/>
    </border>
    <border>
      <left style="hair">
        <color rgb="FF4260F8"/>
      </left>
      <right/>
      <top style="hair">
        <color rgb="FF4260F8"/>
      </top>
      <bottom style="hair">
        <color rgb="FF4260F8"/>
      </bottom>
      <diagonal/>
    </border>
    <border>
      <left/>
      <right style="hair">
        <color rgb="FF4260F8"/>
      </right>
      <top style="hair">
        <color rgb="FF4260F8"/>
      </top>
      <bottom style="hair">
        <color rgb="FF4260F8"/>
      </bottom>
      <diagonal/>
    </border>
    <border>
      <left/>
      <right/>
      <top style="hair">
        <color rgb="FF4260F8"/>
      </top>
      <bottom style="hair">
        <color rgb="FF4260F8"/>
      </bottom>
      <diagonal/>
    </border>
    <border>
      <left style="hair">
        <color rgb="FF4260F8"/>
      </left>
      <right/>
      <top/>
      <bottom style="hair">
        <color rgb="FF4260F8"/>
      </bottom>
      <diagonal/>
    </border>
    <border>
      <left/>
      <right/>
      <top/>
      <bottom style="hair">
        <color rgb="FF4260F8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thin">
        <color auto="1"/>
      </right>
      <top style="thick">
        <color rgb="FFC00000"/>
      </top>
      <bottom/>
      <diagonal/>
    </border>
    <border>
      <left style="thin">
        <color auto="1"/>
      </left>
      <right style="thin">
        <color auto="1"/>
      </right>
      <top/>
      <bottom style="thick">
        <color rgb="FFC00000"/>
      </bottom>
      <diagonal/>
    </border>
    <border>
      <left style="thick">
        <color rgb="FFC00000"/>
      </left>
      <right style="thin">
        <color auto="1"/>
      </right>
      <top style="thick">
        <color rgb="FFC00000"/>
      </top>
      <bottom/>
      <diagonal/>
    </border>
    <border>
      <left style="thick">
        <color rgb="FFC00000"/>
      </left>
      <right style="thin">
        <color auto="1"/>
      </right>
      <top/>
      <bottom style="thick">
        <color rgb="FFC00000"/>
      </bottom>
      <diagonal/>
    </border>
    <border>
      <left style="thin">
        <color auto="1"/>
      </left>
      <right style="thin">
        <color auto="1"/>
      </right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n">
        <color auto="1"/>
      </left>
      <right style="thin">
        <color auto="1"/>
      </right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/>
      <diagonal/>
    </border>
    <border>
      <left style="thin">
        <color auto="1"/>
      </left>
      <right style="thick">
        <color rgb="FFC00000"/>
      </right>
      <top/>
      <bottom style="thick">
        <color rgb="FFC0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medium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ck">
        <color rgb="FFC00000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/>
      <top style="thick">
        <color rgb="FF00B050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C00000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rgb="FF00B050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rgb="FF4260F8"/>
      </top>
      <bottom/>
      <diagonal/>
    </border>
    <border>
      <left style="double">
        <color auto="1"/>
      </left>
      <right/>
      <top style="hair">
        <color rgb="FF4260F8"/>
      </top>
      <bottom style="double">
        <color auto="1"/>
      </bottom>
      <diagonal/>
    </border>
    <border>
      <left/>
      <right/>
      <top style="hair">
        <color rgb="FF4260F8"/>
      </top>
      <bottom style="double">
        <color auto="1"/>
      </bottom>
      <diagonal/>
    </border>
    <border>
      <left style="hair">
        <color rgb="FF4260F8"/>
      </left>
      <right style="hair">
        <color rgb="FF4260F8"/>
      </right>
      <top style="hair">
        <color rgb="FF4260F8"/>
      </top>
      <bottom style="double">
        <color auto="1"/>
      </bottom>
      <diagonal/>
    </border>
    <border>
      <left style="hair">
        <color rgb="FF4260F8"/>
      </left>
      <right/>
      <top style="hair">
        <color rgb="FF4260F8"/>
      </top>
      <bottom/>
      <diagonal/>
    </border>
    <border>
      <left style="double">
        <color auto="1"/>
      </left>
      <right/>
      <top style="double">
        <color auto="1"/>
      </top>
      <bottom style="hair">
        <color rgb="FF4260F8"/>
      </bottom>
      <diagonal/>
    </border>
    <border>
      <left/>
      <right/>
      <top style="double">
        <color auto="1"/>
      </top>
      <bottom style="hair">
        <color rgb="FF4260F8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hair">
        <color rgb="FF4260F8"/>
      </left>
      <right/>
      <top style="double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medium">
        <color indexed="64"/>
      </left>
      <right style="hair">
        <color rgb="FF4260F8"/>
      </right>
      <top/>
      <bottom/>
      <diagonal/>
    </border>
    <border>
      <left style="thick">
        <color rgb="FF00B050"/>
      </left>
      <right style="medium">
        <color indexed="64"/>
      </right>
      <top style="thick">
        <color rgb="FF00B050"/>
      </top>
      <bottom style="thick">
        <color rgb="FF00B050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ck">
        <color rgb="FF00B050"/>
      </bottom>
      <diagonal/>
    </border>
    <border>
      <left/>
      <right style="medium">
        <color indexed="64"/>
      </right>
      <top style="medium">
        <color indexed="64"/>
      </top>
      <bottom style="thick">
        <color rgb="FF00B050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rgb="FF4260F8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double">
        <color auto="1"/>
      </left>
      <right/>
      <top style="hair">
        <color rgb="FF4260F8"/>
      </top>
      <bottom style="hair">
        <color auto="1"/>
      </bottom>
      <diagonal/>
    </border>
    <border>
      <left/>
      <right/>
      <top style="hair">
        <color rgb="FF4260F8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thick">
        <color rgb="FF00B050"/>
      </top>
      <bottom style="hair">
        <color rgb="FF4260F8"/>
      </bottom>
      <diagonal/>
    </border>
    <border>
      <left/>
      <right style="medium">
        <color auto="1"/>
      </right>
      <top style="hair">
        <color rgb="FF4260F8"/>
      </top>
      <bottom style="hair">
        <color rgb="FF4260F8"/>
      </bottom>
      <diagonal/>
    </border>
    <border>
      <left/>
      <right style="medium">
        <color auto="1"/>
      </right>
      <top style="hair">
        <color rgb="FF4260F8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double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rgb="FF4260F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4">
    <xf numFmtId="0" fontId="0" fillId="0" borderId="0"/>
    <xf numFmtId="0" fontId="3" fillId="0" borderId="0"/>
    <xf numFmtId="0" fontId="22" fillId="0" borderId="0"/>
    <xf numFmtId="169" fontId="5" fillId="0" borderId="0" applyBorder="0" applyProtection="0"/>
    <xf numFmtId="0" fontId="22" fillId="0" borderId="0"/>
    <xf numFmtId="0" fontId="3" fillId="0" borderId="0"/>
    <xf numFmtId="175" fontId="5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169" fontId="5" fillId="0" borderId="0" applyBorder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3" fillId="0" borderId="0"/>
    <xf numFmtId="0" fontId="82" fillId="0" borderId="0" applyNumberFormat="0" applyFill="0" applyBorder="0" applyProtection="0"/>
    <xf numFmtId="0" fontId="2" fillId="0" borderId="0"/>
    <xf numFmtId="0" fontId="1" fillId="0" borderId="0"/>
  </cellStyleXfs>
  <cellXfs count="1140">
    <xf numFmtId="0" fontId="0" fillId="0" borderId="0" xfId="0"/>
    <xf numFmtId="49" fontId="8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165" fontId="12" fillId="0" borderId="0" xfId="0" applyNumberFormat="1" applyFont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67" fontId="20" fillId="0" borderId="15" xfId="0" applyNumberFormat="1" applyFont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2" fontId="7" fillId="2" borderId="14" xfId="0" applyNumberFormat="1" applyFont="1" applyFill="1" applyBorder="1" applyAlignment="1" applyProtection="1">
      <alignment horizontal="center" vertical="center"/>
      <protection locked="0"/>
    </xf>
    <xf numFmtId="167" fontId="20" fillId="0" borderId="0" xfId="0" applyNumberFormat="1" applyFont="1" applyBorder="1" applyAlignment="1" applyProtection="1">
      <alignment horizontal="center" vertical="center"/>
    </xf>
    <xf numFmtId="0" fontId="19" fillId="2" borderId="13" xfId="0" applyFont="1" applyFill="1" applyBorder="1" applyAlignment="1" applyProtection="1">
      <alignment horizontal="center"/>
      <protection locked="0"/>
    </xf>
    <xf numFmtId="0" fontId="0" fillId="0" borderId="0" xfId="0" applyFill="1"/>
    <xf numFmtId="1" fontId="7" fillId="2" borderId="13" xfId="0" applyNumberFormat="1" applyFont="1" applyFill="1" applyBorder="1" applyAlignment="1" applyProtection="1">
      <alignment horizontal="center" vertical="center"/>
      <protection locked="0"/>
    </xf>
    <xf numFmtId="167" fontId="20" fillId="0" borderId="18" xfId="0" applyNumberFormat="1" applyFont="1" applyBorder="1" applyAlignment="1" applyProtection="1">
      <alignment horizontal="center" vertical="center"/>
    </xf>
    <xf numFmtId="0" fontId="0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 vertical="center"/>
    </xf>
    <xf numFmtId="49" fontId="0" fillId="0" borderId="0" xfId="0" applyNumberFormat="1"/>
    <xf numFmtId="2" fontId="20" fillId="0" borderId="29" xfId="0" applyNumberFormat="1" applyFont="1" applyBorder="1" applyAlignment="1" applyProtection="1">
      <alignment horizontal="center" vertical="center"/>
    </xf>
    <xf numFmtId="2" fontId="20" fillId="0" borderId="16" xfId="0" applyNumberFormat="1" applyFont="1" applyBorder="1" applyAlignment="1" applyProtection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168" fontId="0" fillId="0" borderId="0" xfId="0" applyNumberFormat="1" applyBorder="1"/>
    <xf numFmtId="0" fontId="7" fillId="3" borderId="30" xfId="0" applyFont="1" applyFill="1" applyBorder="1" applyAlignment="1" applyProtection="1">
      <alignment horizontal="center" vertical="center"/>
      <protection locked="0"/>
    </xf>
    <xf numFmtId="1" fontId="26" fillId="2" borderId="31" xfId="0" applyNumberFormat="1" applyFont="1" applyFill="1" applyBorder="1" applyAlignment="1" applyProtection="1">
      <alignment horizontal="center" vertical="center"/>
      <protection locked="0"/>
    </xf>
    <xf numFmtId="167" fontId="20" fillId="0" borderId="32" xfId="0" applyNumberFormat="1" applyFont="1" applyBorder="1" applyAlignment="1" applyProtection="1">
      <alignment horizontal="center" vertical="center"/>
    </xf>
    <xf numFmtId="167" fontId="7" fillId="2" borderId="33" xfId="0" applyNumberFormat="1" applyFont="1" applyFill="1" applyBorder="1" applyAlignment="1" applyProtection="1">
      <alignment horizontal="center" vertical="center"/>
      <protection locked="0"/>
    </xf>
    <xf numFmtId="167" fontId="20" fillId="0" borderId="34" xfId="0" applyNumberFormat="1" applyFont="1" applyBorder="1" applyAlignment="1" applyProtection="1">
      <alignment horizontal="center" vertical="center"/>
    </xf>
    <xf numFmtId="1" fontId="20" fillId="0" borderId="33" xfId="0" applyNumberFormat="1" applyFont="1" applyBorder="1" applyAlignment="1" applyProtection="1">
      <alignment horizontal="center" vertical="center"/>
    </xf>
    <xf numFmtId="168" fontId="20" fillId="0" borderId="16" xfId="0" applyNumberFormat="1" applyFont="1" applyBorder="1" applyAlignment="1" applyProtection="1">
      <alignment horizontal="center" vertical="center"/>
    </xf>
    <xf numFmtId="2" fontId="20" fillId="0" borderId="0" xfId="0" applyNumberFormat="1" applyFont="1" applyBorder="1" applyAlignment="1" applyProtection="1">
      <alignment horizontal="center" vertical="center"/>
    </xf>
    <xf numFmtId="0" fontId="0" fillId="0" borderId="23" xfId="0" applyFont="1" applyBorder="1"/>
    <xf numFmtId="168" fontId="0" fillId="0" borderId="23" xfId="0" applyNumberFormat="1" applyBorder="1"/>
    <xf numFmtId="0" fontId="27" fillId="0" borderId="0" xfId="0" applyFont="1"/>
    <xf numFmtId="0" fontId="0" fillId="0" borderId="22" xfId="0" applyBorder="1"/>
    <xf numFmtId="168" fontId="0" fillId="0" borderId="22" xfId="0" applyNumberFormat="1" applyBorder="1"/>
    <xf numFmtId="0" fontId="28" fillId="0" borderId="0" xfId="0" applyFont="1"/>
    <xf numFmtId="168" fontId="0" fillId="0" borderId="0" xfId="0" applyNumberFormat="1" applyFont="1" applyBorder="1"/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0" fillId="0" borderId="22" xfId="0" applyFont="1" applyBorder="1"/>
    <xf numFmtId="168" fontId="0" fillId="0" borderId="22" xfId="0" applyNumberFormat="1" applyFont="1" applyBorder="1"/>
    <xf numFmtId="167" fontId="7" fillId="2" borderId="36" xfId="0" applyNumberFormat="1" applyFont="1" applyFill="1" applyBorder="1" applyAlignment="1" applyProtection="1">
      <alignment horizontal="center" vertical="center"/>
      <protection locked="0"/>
    </xf>
    <xf numFmtId="168" fontId="16" fillId="0" borderId="36" xfId="0" applyNumberFormat="1" applyFont="1" applyBorder="1" applyAlignment="1" applyProtection="1">
      <alignment horizontal="center" vertical="center"/>
    </xf>
    <xf numFmtId="2" fontId="16" fillId="0" borderId="36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right" vertical="center"/>
    </xf>
    <xf numFmtId="2" fontId="7" fillId="2" borderId="37" xfId="0" applyNumberFormat="1" applyFont="1" applyFill="1" applyBorder="1" applyAlignment="1" applyProtection="1">
      <alignment horizontal="center" vertical="center"/>
      <protection locked="0"/>
    </xf>
    <xf numFmtId="167" fontId="7" fillId="2" borderId="37" xfId="0" applyNumberFormat="1" applyFont="1" applyFill="1" applyBorder="1" applyAlignment="1" applyProtection="1">
      <alignment horizontal="center" vertical="center"/>
      <protection locked="0"/>
    </xf>
    <xf numFmtId="1" fontId="7" fillId="2" borderId="3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/>
    <xf numFmtId="168" fontId="0" fillId="0" borderId="7" xfId="0" applyNumberFormat="1" applyFont="1" applyBorder="1"/>
    <xf numFmtId="167" fontId="7" fillId="2" borderId="22" xfId="0" applyNumberFormat="1" applyFont="1" applyFill="1" applyBorder="1" applyAlignment="1" applyProtection="1">
      <alignment horizontal="center" vertical="center"/>
      <protection locked="0"/>
    </xf>
    <xf numFmtId="168" fontId="16" fillId="0" borderId="22" xfId="0" applyNumberFormat="1" applyFont="1" applyBorder="1" applyAlignment="1" applyProtection="1">
      <alignment horizontal="center" vertical="center"/>
    </xf>
    <xf numFmtId="2" fontId="16" fillId="0" borderId="22" xfId="0" applyNumberFormat="1" applyFont="1" applyBorder="1" applyAlignment="1" applyProtection="1">
      <alignment horizontal="center" vertical="center"/>
    </xf>
    <xf numFmtId="2" fontId="7" fillId="2" borderId="7" xfId="0" applyNumberFormat="1" applyFont="1" applyFill="1" applyBorder="1" applyAlignment="1" applyProtection="1">
      <alignment horizontal="center" vertical="center"/>
      <protection locked="0"/>
    </xf>
    <xf numFmtId="167" fontId="7" fillId="2" borderId="38" xfId="0" applyNumberFormat="1" applyFont="1" applyFill="1" applyBorder="1" applyAlignment="1" applyProtection="1">
      <alignment horizontal="center" vertical="center"/>
      <protection locked="0"/>
    </xf>
    <xf numFmtId="2" fontId="7" fillId="2" borderId="38" xfId="3" applyNumberFormat="1" applyFont="1" applyFill="1" applyBorder="1" applyAlignment="1" applyProtection="1">
      <alignment horizontal="center" vertical="center"/>
      <protection locked="0"/>
    </xf>
    <xf numFmtId="2" fontId="7" fillId="2" borderId="38" xfId="0" applyNumberFormat="1" applyFont="1" applyFill="1" applyBorder="1" applyAlignment="1" applyProtection="1">
      <alignment horizontal="center" vertical="center"/>
      <protection locked="0"/>
    </xf>
    <xf numFmtId="1" fontId="7" fillId="2" borderId="38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2" fontId="16" fillId="0" borderId="7" xfId="0" applyNumberFormat="1" applyFont="1" applyBorder="1" applyAlignment="1" applyProtection="1">
      <alignment horizontal="center" vertical="center"/>
    </xf>
    <xf numFmtId="167" fontId="16" fillId="0" borderId="7" xfId="0" applyNumberFormat="1" applyFont="1" applyBorder="1" applyAlignment="1" applyProtection="1">
      <alignment horizontal="center" vertical="center"/>
    </xf>
    <xf numFmtId="1" fontId="16" fillId="0" borderId="7" xfId="0" applyNumberFormat="1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vertical="center"/>
    </xf>
    <xf numFmtId="1" fontId="29" fillId="0" borderId="0" xfId="0" applyNumberFormat="1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right" vertical="center"/>
    </xf>
    <xf numFmtId="167" fontId="7" fillId="2" borderId="40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right" vertical="center"/>
    </xf>
    <xf numFmtId="2" fontId="7" fillId="2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1" fontId="16" fillId="0" borderId="0" xfId="0" applyNumberFormat="1" applyFont="1" applyBorder="1" applyAlignment="1" applyProtection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" fontId="7" fillId="2" borderId="7" xfId="0" applyNumberFormat="1" applyFont="1" applyFill="1" applyBorder="1" applyAlignment="1" applyProtection="1">
      <alignment horizontal="center" vertical="center"/>
      <protection locked="0"/>
    </xf>
    <xf numFmtId="1" fontId="20" fillId="0" borderId="9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1" fontId="20" fillId="0" borderId="42" xfId="0" applyNumberFormat="1" applyFont="1" applyBorder="1" applyAlignment="1" applyProtection="1">
      <alignment horizontal="center" vertical="center"/>
    </xf>
    <xf numFmtId="1" fontId="33" fillId="0" borderId="43" xfId="0" applyNumberFormat="1" applyFont="1" applyBorder="1" applyAlignment="1" applyProtection="1">
      <alignment horizontal="center" vertical="center"/>
    </xf>
    <xf numFmtId="167" fontId="20" fillId="0" borderId="7" xfId="0" applyNumberFormat="1" applyFont="1" applyBorder="1" applyAlignment="1" applyProtection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" fontId="20" fillId="0" borderId="0" xfId="0" applyNumberFormat="1" applyFont="1" applyBorder="1" applyAlignment="1" applyProtection="1">
      <alignment horizontal="center" vertical="center"/>
    </xf>
    <xf numFmtId="167" fontId="20" fillId="0" borderId="48" xfId="0" applyNumberFormat="1" applyFont="1" applyBorder="1" applyAlignment="1" applyProtection="1">
      <alignment horizontal="center" vertical="center"/>
    </xf>
    <xf numFmtId="0" fontId="18" fillId="0" borderId="24" xfId="0" applyFont="1" applyBorder="1" applyAlignment="1">
      <alignment horizontal="left" vertical="center" wrapText="1"/>
    </xf>
    <xf numFmtId="2" fontId="20" fillId="0" borderId="28" xfId="0" applyNumberFormat="1" applyFont="1" applyBorder="1" applyAlignment="1" applyProtection="1">
      <alignment horizontal="center" vertical="center"/>
    </xf>
    <xf numFmtId="0" fontId="34" fillId="0" borderId="50" xfId="0" applyFont="1" applyBorder="1" applyAlignment="1" applyProtection="1">
      <alignment horizontal="center" vertical="center" wrapText="1"/>
    </xf>
    <xf numFmtId="1" fontId="20" fillId="0" borderId="18" xfId="0" applyNumberFormat="1" applyFont="1" applyBorder="1" applyAlignment="1" applyProtection="1">
      <alignment horizontal="center" vertical="center"/>
    </xf>
    <xf numFmtId="1" fontId="16" fillId="0" borderId="18" xfId="0" applyNumberFormat="1" applyFont="1" applyBorder="1" applyAlignment="1" applyProtection="1">
      <alignment horizontal="center" vertical="center"/>
    </xf>
    <xf numFmtId="0" fontId="18" fillId="0" borderId="24" xfId="0" applyFont="1" applyBorder="1" applyAlignment="1">
      <alignment vertical="center"/>
    </xf>
    <xf numFmtId="1" fontId="20" fillId="0" borderId="50" xfId="0" applyNumberFormat="1" applyFont="1" applyBorder="1" applyAlignment="1" applyProtection="1">
      <alignment horizontal="center" vertical="center"/>
    </xf>
    <xf numFmtId="0" fontId="35" fillId="0" borderId="0" xfId="0" applyFont="1" applyBorder="1" applyAlignment="1">
      <alignment horizontal="center" vertical="top"/>
    </xf>
    <xf numFmtId="0" fontId="9" fillId="0" borderId="13" xfId="0" applyFont="1" applyBorder="1" applyAlignment="1">
      <alignment vertical="center"/>
    </xf>
    <xf numFmtId="2" fontId="7" fillId="2" borderId="28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167" fontId="20" fillId="0" borderId="22" xfId="0" applyNumberFormat="1" applyFont="1" applyBorder="1" applyAlignment="1" applyProtection="1">
      <alignment horizontal="center" vertical="center"/>
    </xf>
    <xf numFmtId="1" fontId="16" fillId="0" borderId="24" xfId="0" applyNumberFormat="1" applyFont="1" applyBorder="1" applyAlignment="1" applyProtection="1">
      <alignment horizontal="center" vertical="center"/>
    </xf>
    <xf numFmtId="2" fontId="9" fillId="0" borderId="51" xfId="0" applyNumberFormat="1" applyFont="1" applyBorder="1" applyAlignment="1">
      <alignment horizontal="center" vertical="center"/>
    </xf>
    <xf numFmtId="1" fontId="35" fillId="0" borderId="50" xfId="0" applyNumberFormat="1" applyFont="1" applyBorder="1" applyAlignment="1">
      <alignment horizontal="center" vertical="center"/>
    </xf>
    <xf numFmtId="1" fontId="35" fillId="0" borderId="52" xfId="0" applyNumberFormat="1" applyFont="1" applyBorder="1" applyAlignment="1" applyProtection="1">
      <alignment horizontal="center" vertical="center"/>
    </xf>
    <xf numFmtId="0" fontId="36" fillId="0" borderId="0" xfId="0" applyFont="1" applyAlignment="1">
      <alignment horizontal="center" vertical="center"/>
    </xf>
    <xf numFmtId="1" fontId="33" fillId="0" borderId="55" xfId="0" applyNumberFormat="1" applyFont="1" applyBorder="1" applyAlignment="1" applyProtection="1">
      <alignment horizontal="center" vertical="center"/>
    </xf>
    <xf numFmtId="170" fontId="9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8" fillId="0" borderId="0" xfId="0" applyFont="1"/>
    <xf numFmtId="0" fontId="9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24" fillId="2" borderId="59" xfId="4" applyNumberFormat="1" applyFont="1" applyFill="1" applyBorder="1" applyAlignment="1" applyProtection="1">
      <alignment horizontal="center" vertical="center"/>
      <protection locked="0"/>
    </xf>
    <xf numFmtId="0" fontId="0" fillId="0" borderId="24" xfId="0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167" fontId="24" fillId="2" borderId="59" xfId="4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24" fillId="0" borderId="26" xfId="2" applyFont="1" applyBorder="1" applyAlignment="1">
      <alignment horizontal="left" vertical="center"/>
    </xf>
    <xf numFmtId="0" fontId="24" fillId="2" borderId="7" xfId="2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2" fontId="24" fillId="0" borderId="0" xfId="4" applyNumberFormat="1" applyFont="1" applyBorder="1" applyAlignment="1" applyProtection="1">
      <alignment horizontal="center" vertical="center"/>
      <protection locked="0"/>
    </xf>
    <xf numFmtId="0" fontId="24" fillId="0" borderId="26" xfId="2" applyFont="1" applyBorder="1" applyAlignment="1">
      <alignment horizontal="left" vertical="center" wrapText="1"/>
    </xf>
    <xf numFmtId="167" fontId="24" fillId="2" borderId="24" xfId="2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>
      <alignment horizontal="right" vertical="center"/>
    </xf>
    <xf numFmtId="167" fontId="24" fillId="0" borderId="0" xfId="4" applyNumberFormat="1" applyFont="1" applyBorder="1" applyAlignment="1" applyProtection="1">
      <alignment horizontal="center" vertical="center"/>
      <protection locked="0"/>
    </xf>
    <xf numFmtId="0" fontId="24" fillId="2" borderId="24" xfId="2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2" fontId="44" fillId="0" borderId="61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26" xfId="2" applyFont="1" applyBorder="1" applyAlignment="1">
      <alignment horizontal="left" vertical="center"/>
    </xf>
    <xf numFmtId="167" fontId="7" fillId="2" borderId="2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167" fontId="24" fillId="2" borderId="64" xfId="4" applyNumberFormat="1" applyFont="1" applyFill="1" applyBorder="1" applyAlignment="1" applyProtection="1">
      <alignment horizontal="center" vertical="center"/>
      <protection locked="0"/>
    </xf>
    <xf numFmtId="2" fontId="44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readingOrder="1"/>
    </xf>
    <xf numFmtId="167" fontId="7" fillId="0" borderId="0" xfId="2" applyNumberFormat="1" applyFont="1" applyBorder="1" applyAlignment="1">
      <alignment vertical="center"/>
    </xf>
    <xf numFmtId="167" fontId="24" fillId="0" borderId="26" xfId="2" applyNumberFormat="1" applyFont="1" applyBorder="1" applyAlignment="1">
      <alignment vertical="center"/>
    </xf>
    <xf numFmtId="168" fontId="7" fillId="2" borderId="24" xfId="0" applyNumberFormat="1" applyFont="1" applyFill="1" applyBorder="1" applyAlignment="1" applyProtection="1">
      <alignment horizontal="center" vertical="center"/>
      <protection locked="0"/>
    </xf>
    <xf numFmtId="2" fontId="14" fillId="0" borderId="66" xfId="0" applyNumberFormat="1" applyFont="1" applyBorder="1" applyAlignment="1">
      <alignment horizontal="center" vertical="center"/>
    </xf>
    <xf numFmtId="168" fontId="24" fillId="0" borderId="0" xfId="2" applyNumberFormat="1" applyFont="1" applyBorder="1" applyAlignment="1" applyProtection="1">
      <alignment horizontal="center" vertical="center"/>
    </xf>
    <xf numFmtId="0" fontId="17" fillId="0" borderId="0" xfId="0" applyFont="1"/>
    <xf numFmtId="167" fontId="24" fillId="0" borderId="0" xfId="2" applyNumberFormat="1" applyFont="1" applyBorder="1" applyAlignment="1">
      <alignment vertical="center"/>
    </xf>
    <xf numFmtId="167" fontId="24" fillId="2" borderId="68" xfId="4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 applyBorder="1" applyAlignment="1">
      <alignment horizontal="center"/>
    </xf>
    <xf numFmtId="171" fontId="50" fillId="0" borderId="0" xfId="0" applyNumberFormat="1" applyFont="1" applyBorder="1" applyAlignment="1">
      <alignment horizontal="right" vertical="center"/>
    </xf>
    <xf numFmtId="167" fontId="41" fillId="0" borderId="0" xfId="2" applyNumberFormat="1" applyFont="1" applyBorder="1" applyAlignment="1">
      <alignment horizontal="right" vertical="center"/>
    </xf>
    <xf numFmtId="168" fontId="19" fillId="0" borderId="0" xfId="0" applyNumberFormat="1" applyFont="1" applyBorder="1" applyAlignment="1" applyProtection="1">
      <alignment horizontal="center" vertical="top"/>
    </xf>
    <xf numFmtId="168" fontId="24" fillId="2" borderId="69" xfId="4" applyNumberFormat="1" applyFont="1" applyFill="1" applyBorder="1" applyAlignment="1" applyProtection="1">
      <alignment horizontal="center" vertical="center"/>
      <protection locked="0"/>
    </xf>
    <xf numFmtId="2" fontId="14" fillId="0" borderId="0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right" vertical="center"/>
    </xf>
    <xf numFmtId="168" fontId="24" fillId="0" borderId="0" xfId="2" applyNumberFormat="1" applyFont="1" applyBorder="1" applyAlignment="1">
      <alignment horizontal="center" vertical="center"/>
    </xf>
    <xf numFmtId="167" fontId="7" fillId="0" borderId="0" xfId="0" applyNumberFormat="1" applyFont="1" applyBorder="1" applyAlignment="1" applyProtection="1">
      <alignment horizontal="center" vertical="center"/>
    </xf>
    <xf numFmtId="167" fontId="24" fillId="0" borderId="50" xfId="4" applyNumberFormat="1" applyFont="1" applyBorder="1" applyAlignment="1" applyProtection="1">
      <alignment horizontal="center" vertical="center"/>
      <protection locked="0"/>
    </xf>
    <xf numFmtId="0" fontId="51" fillId="0" borderId="0" xfId="0" applyFont="1" applyBorder="1" applyAlignment="1">
      <alignment horizontal="center"/>
    </xf>
    <xf numFmtId="168" fontId="24" fillId="0" borderId="70" xfId="2" applyNumberFormat="1" applyFont="1" applyBorder="1" applyAlignment="1" applyProtection="1">
      <alignment horizontal="left" vertical="center"/>
    </xf>
    <xf numFmtId="168" fontId="24" fillId="0" borderId="71" xfId="2" applyNumberFormat="1" applyFont="1" applyBorder="1" applyAlignment="1" applyProtection="1">
      <alignment horizontal="left" vertical="center"/>
    </xf>
    <xf numFmtId="2" fontId="14" fillId="0" borderId="72" xfId="0" applyNumberFormat="1" applyFont="1" applyBorder="1" applyAlignment="1" applyProtection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20" fillId="0" borderId="22" xfId="0" applyNumberFormat="1" applyFont="1" applyBorder="1" applyAlignment="1" applyProtection="1">
      <alignment horizontal="center" vertical="center"/>
    </xf>
    <xf numFmtId="2" fontId="14" fillId="0" borderId="0" xfId="0" applyNumberFormat="1" applyFont="1" applyBorder="1" applyAlignment="1" applyProtection="1">
      <alignment horizontal="center" vertical="center"/>
    </xf>
    <xf numFmtId="2" fontId="20" fillId="0" borderId="7" xfId="0" applyNumberFormat="1" applyFont="1" applyBorder="1" applyAlignment="1" applyProtection="1">
      <alignment horizontal="center" vertical="center"/>
    </xf>
    <xf numFmtId="0" fontId="51" fillId="0" borderId="4" xfId="0" applyFont="1" applyBorder="1" applyAlignment="1">
      <alignment horizontal="center"/>
    </xf>
    <xf numFmtId="0" fontId="21" fillId="0" borderId="4" xfId="2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wrapText="1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167" fontId="24" fillId="0" borderId="0" xfId="2" applyNumberFormat="1" applyFont="1" applyBorder="1" applyAlignment="1">
      <alignment horizontal="right" vertical="center"/>
    </xf>
    <xf numFmtId="168" fontId="20" fillId="0" borderId="24" xfId="0" applyNumberFormat="1" applyFont="1" applyBorder="1" applyAlignment="1" applyProtection="1">
      <alignment horizontal="center" vertical="center"/>
    </xf>
    <xf numFmtId="0" fontId="7" fillId="0" borderId="8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wrapText="1"/>
    </xf>
    <xf numFmtId="167" fontId="20" fillId="0" borderId="8" xfId="0" applyNumberFormat="1" applyFont="1" applyBorder="1" applyAlignment="1" applyProtection="1">
      <alignment horizontal="center" vertical="top"/>
    </xf>
    <xf numFmtId="167" fontId="20" fillId="0" borderId="9" xfId="0" applyNumberFormat="1" applyFont="1" applyBorder="1" applyAlignment="1" applyProtection="1">
      <alignment horizontal="center" vertical="top"/>
    </xf>
    <xf numFmtId="167" fontId="7" fillId="2" borderId="8" xfId="0" applyNumberFormat="1" applyFont="1" applyFill="1" applyBorder="1" applyAlignment="1" applyProtection="1">
      <alignment horizontal="center" vertical="center"/>
      <protection locked="0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42" fillId="0" borderId="0" xfId="0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168" fontId="20" fillId="0" borderId="8" xfId="0" applyNumberFormat="1" applyFont="1" applyBorder="1" applyAlignment="1" applyProtection="1">
      <alignment horizontal="center" vertical="top"/>
    </xf>
    <xf numFmtId="168" fontId="20" fillId="0" borderId="9" xfId="0" applyNumberFormat="1" applyFont="1" applyBorder="1" applyAlignment="1" applyProtection="1">
      <alignment horizontal="center" vertical="top"/>
    </xf>
    <xf numFmtId="0" fontId="4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0" fillId="0" borderId="20" xfId="0" applyFont="1" applyBorder="1" applyAlignment="1">
      <alignment horizontal="center" wrapText="1"/>
    </xf>
    <xf numFmtId="0" fontId="24" fillId="0" borderId="26" xfId="4" applyFont="1" applyBorder="1" applyAlignment="1">
      <alignment horizontal="center" vertical="center"/>
    </xf>
    <xf numFmtId="0" fontId="24" fillId="0" borderId="9" xfId="4" applyFont="1" applyBorder="1" applyAlignment="1">
      <alignment horizontal="center" vertical="center"/>
    </xf>
    <xf numFmtId="0" fontId="24" fillId="0" borderId="7" xfId="4" applyFont="1" applyBorder="1" applyAlignment="1">
      <alignment horizontal="center" vertical="center"/>
    </xf>
    <xf numFmtId="2" fontId="24" fillId="0" borderId="7" xfId="4" applyNumberFormat="1" applyFont="1" applyBorder="1" applyAlignment="1">
      <alignment horizontal="center" vertical="center"/>
    </xf>
    <xf numFmtId="2" fontId="24" fillId="0" borderId="83" xfId="4" applyNumberFormat="1" applyFont="1" applyBorder="1" applyAlignment="1">
      <alignment horizontal="center" vertical="center"/>
    </xf>
    <xf numFmtId="171" fontId="50" fillId="0" borderId="25" xfId="0" applyNumberFormat="1" applyFont="1" applyBorder="1" applyAlignment="1">
      <alignment horizontal="right" vertical="center"/>
    </xf>
    <xf numFmtId="167" fontId="24" fillId="2" borderId="7" xfId="2" applyNumberFormat="1" applyFont="1" applyFill="1" applyBorder="1" applyAlignment="1" applyProtection="1">
      <alignment horizontal="center" vertical="center"/>
      <protection locked="0"/>
    </xf>
    <xf numFmtId="0" fontId="24" fillId="0" borderId="26" xfId="4" applyFont="1" applyBorder="1" applyAlignment="1">
      <alignment horizontal="right" vertical="center"/>
    </xf>
    <xf numFmtId="168" fontId="24" fillId="2" borderId="13" xfId="4" applyNumberFormat="1" applyFont="1" applyFill="1" applyBorder="1" applyAlignment="1" applyProtection="1">
      <alignment horizontal="center" vertical="center"/>
      <protection locked="0"/>
    </xf>
    <xf numFmtId="0" fontId="54" fillId="0" borderId="51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167" fontId="24" fillId="2" borderId="13" xfId="4" applyNumberFormat="1" applyFont="1" applyFill="1" applyBorder="1" applyAlignment="1" applyProtection="1">
      <alignment horizontal="center" vertical="center"/>
      <protection locked="0"/>
    </xf>
    <xf numFmtId="0" fontId="54" fillId="0" borderId="24" xfId="4" applyFont="1" applyBorder="1" applyAlignment="1">
      <alignment horizontal="center" vertical="center"/>
    </xf>
    <xf numFmtId="167" fontId="54" fillId="0" borderId="84" xfId="4" applyNumberFormat="1" applyFont="1" applyBorder="1" applyAlignment="1">
      <alignment horizontal="center" vertical="center"/>
    </xf>
    <xf numFmtId="2" fontId="24" fillId="0" borderId="0" xfId="4" applyNumberFormat="1" applyFont="1" applyBorder="1" applyAlignment="1">
      <alignment horizontal="center" vertical="center"/>
    </xf>
    <xf numFmtId="2" fontId="20" fillId="0" borderId="9" xfId="0" applyNumberFormat="1" applyFont="1" applyBorder="1" applyAlignment="1" applyProtection="1">
      <alignment horizontal="center" vertical="top"/>
    </xf>
    <xf numFmtId="0" fontId="54" fillId="0" borderId="21" xfId="4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7" fontId="54" fillId="0" borderId="0" xfId="4" applyNumberFormat="1" applyFont="1" applyBorder="1" applyAlignment="1" applyProtection="1">
      <alignment horizontal="center" vertical="center"/>
      <protection locked="0"/>
    </xf>
    <xf numFmtId="0" fontId="54" fillId="0" borderId="0" xfId="4" applyFont="1" applyBorder="1" applyAlignment="1">
      <alignment horizontal="center" vertical="center"/>
    </xf>
    <xf numFmtId="167" fontId="24" fillId="0" borderId="0" xfId="4" applyNumberFormat="1" applyFont="1" applyBorder="1" applyAlignment="1">
      <alignment horizontal="right" vertical="center"/>
    </xf>
    <xf numFmtId="167" fontId="54" fillId="0" borderId="0" xfId="4" applyNumberFormat="1" applyFont="1" applyBorder="1" applyAlignment="1">
      <alignment horizontal="center" vertical="center"/>
    </xf>
    <xf numFmtId="168" fontId="20" fillId="0" borderId="8" xfId="0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2" fontId="0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2" fontId="56" fillId="0" borderId="0" xfId="0" applyNumberFormat="1" applyFont="1" applyBorder="1"/>
    <xf numFmtId="0" fontId="0" fillId="0" borderId="26" xfId="0" applyBorder="1"/>
    <xf numFmtId="0" fontId="21" fillId="0" borderId="0" xfId="4" applyFont="1" applyBorder="1" applyAlignment="1" applyProtection="1">
      <alignment horizontal="center" vertical="center"/>
    </xf>
    <xf numFmtId="171" fontId="17" fillId="0" borderId="0" xfId="0" applyNumberFormat="1" applyFont="1" applyBorder="1" applyAlignment="1">
      <alignment horizontal="center" vertical="center"/>
    </xf>
    <xf numFmtId="168" fontId="24" fillId="2" borderId="7" xfId="4" applyNumberFormat="1" applyFont="1" applyFill="1" applyBorder="1" applyAlignment="1" applyProtection="1">
      <alignment horizontal="center" vertical="center"/>
      <protection locked="0"/>
    </xf>
    <xf numFmtId="167" fontId="24" fillId="0" borderId="25" xfId="4" applyNumberFormat="1" applyFont="1" applyBorder="1" applyAlignment="1" applyProtection="1">
      <alignment horizontal="center" vertical="center"/>
    </xf>
    <xf numFmtId="2" fontId="38" fillId="0" borderId="0" xfId="0" applyNumberFormat="1" applyFont="1" applyBorder="1"/>
    <xf numFmtId="168" fontId="24" fillId="2" borderId="7" xfId="2" applyNumberFormat="1" applyFont="1" applyFill="1" applyBorder="1" applyAlignment="1" applyProtection="1">
      <alignment horizontal="center" vertical="center"/>
      <protection locked="0"/>
    </xf>
    <xf numFmtId="168" fontId="24" fillId="2" borderId="9" xfId="2" applyNumberFormat="1" applyFont="1" applyFill="1" applyBorder="1" applyAlignment="1" applyProtection="1">
      <alignment horizontal="center" vertical="center"/>
      <protection locked="0"/>
    </xf>
    <xf numFmtId="168" fontId="24" fillId="2" borderId="9" xfId="4" applyNumberFormat="1" applyFont="1" applyFill="1" applyBorder="1" applyAlignment="1" applyProtection="1">
      <alignment horizontal="center" vertical="center"/>
      <protection locked="0"/>
    </xf>
    <xf numFmtId="2" fontId="54" fillId="0" borderId="17" xfId="4" applyNumberFormat="1" applyFont="1" applyBorder="1" applyAlignment="1" applyProtection="1">
      <alignment horizontal="center"/>
    </xf>
    <xf numFmtId="1" fontId="9" fillId="0" borderId="0" xfId="0" applyNumberFormat="1" applyFont="1" applyBorder="1" applyAlignment="1">
      <alignment horizontal="center" vertical="center"/>
    </xf>
    <xf numFmtId="168" fontId="7" fillId="0" borderId="0" xfId="0" applyNumberFormat="1" applyFont="1" applyBorder="1" applyAlignment="1" applyProtection="1">
      <alignment horizontal="left" vertical="center"/>
    </xf>
    <xf numFmtId="0" fontId="0" fillId="0" borderId="17" xfId="0" applyBorder="1"/>
    <xf numFmtId="0" fontId="7" fillId="0" borderId="0" xfId="0" applyFont="1" applyBorder="1" applyAlignment="1" applyProtection="1">
      <alignment horizontal="right" vertical="center"/>
    </xf>
    <xf numFmtId="168" fontId="7" fillId="2" borderId="48" xfId="0" applyNumberFormat="1" applyFont="1" applyFill="1" applyBorder="1" applyAlignment="1" applyProtection="1">
      <alignment horizontal="center" vertical="center"/>
      <protection locked="0"/>
    </xf>
    <xf numFmtId="167" fontId="7" fillId="2" borderId="7" xfId="0" applyNumberFormat="1" applyFont="1" applyFill="1" applyBorder="1" applyAlignment="1" applyProtection="1">
      <alignment horizontal="center" vertical="center"/>
      <protection locked="0"/>
    </xf>
    <xf numFmtId="2" fontId="54" fillId="0" borderId="0" xfId="4" applyNumberFormat="1" applyFont="1" applyBorder="1" applyAlignment="1" applyProtection="1">
      <alignment horizontal="center"/>
    </xf>
    <xf numFmtId="49" fontId="9" fillId="0" borderId="0" xfId="0" applyNumberFormat="1" applyFont="1" applyBorder="1" applyAlignment="1">
      <alignment horizontal="left"/>
    </xf>
    <xf numFmtId="2" fontId="0" fillId="0" borderId="0" xfId="0" applyNumberFormat="1" applyBorder="1"/>
    <xf numFmtId="167" fontId="24" fillId="2" borderId="7" xfId="4" applyNumberFormat="1" applyFont="1" applyFill="1" applyBorder="1" applyAlignment="1" applyProtection="1">
      <alignment horizontal="center" vertical="center"/>
      <protection locked="0"/>
    </xf>
    <xf numFmtId="167" fontId="24" fillId="0" borderId="0" xfId="4" applyNumberFormat="1" applyFont="1" applyBorder="1" applyAlignment="1" applyProtection="1">
      <alignment horizontal="center" vertical="center"/>
    </xf>
    <xf numFmtId="167" fontId="24" fillId="0" borderId="0" xfId="4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2" fontId="7" fillId="2" borderId="25" xfId="0" applyNumberFormat="1" applyFont="1" applyFill="1" applyBorder="1" applyAlignment="1" applyProtection="1">
      <alignment horizontal="center" vertical="center"/>
      <protection locked="0"/>
    </xf>
    <xf numFmtId="1" fontId="7" fillId="2" borderId="24" xfId="0" applyNumberFormat="1" applyFont="1" applyFill="1" applyBorder="1" applyAlignment="1" applyProtection="1">
      <alignment horizontal="center" vertical="center"/>
      <protection locked="0"/>
    </xf>
    <xf numFmtId="0" fontId="24" fillId="0" borderId="26" xfId="0" applyFont="1" applyBorder="1" applyAlignment="1">
      <alignment horizontal="left" vertical="center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67" fontId="7" fillId="0" borderId="0" xfId="0" applyNumberFormat="1" applyFont="1" applyBorder="1" applyAlignment="1" applyProtection="1">
      <alignment horizontal="center" vertical="center"/>
      <protection locked="0"/>
    </xf>
    <xf numFmtId="167" fontId="7" fillId="2" borderId="28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Border="1"/>
    <xf numFmtId="170" fontId="7" fillId="2" borderId="87" xfId="0" applyNumberFormat="1" applyFont="1" applyFill="1" applyBorder="1" applyAlignment="1" applyProtection="1">
      <alignment horizontal="center" vertical="center"/>
      <protection locked="0"/>
    </xf>
    <xf numFmtId="167" fontId="20" fillId="0" borderId="0" xfId="0" applyNumberFormat="1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91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31" fillId="0" borderId="92" xfId="0" applyFont="1" applyBorder="1" applyAlignment="1">
      <alignment horizontal="center" vertical="center" wrapText="1"/>
    </xf>
    <xf numFmtId="0" fontId="37" fillId="0" borderId="96" xfId="0" applyFont="1" applyBorder="1" applyAlignment="1">
      <alignment vertical="center"/>
    </xf>
    <xf numFmtId="168" fontId="0" fillId="0" borderId="7" xfId="0" applyNumberFormat="1" applyFont="1" applyBorder="1" applyAlignment="1" applyProtection="1">
      <alignment horizontal="center" vertical="center"/>
    </xf>
    <xf numFmtId="168" fontId="17" fillId="2" borderId="8" xfId="0" applyNumberFormat="1" applyFont="1" applyFill="1" applyBorder="1" applyAlignment="1" applyProtection="1">
      <alignment horizontal="center" vertical="center"/>
      <protection locked="0"/>
    </xf>
    <xf numFmtId="2" fontId="20" fillId="0" borderId="97" xfId="0" applyNumberFormat="1" applyFont="1" applyBorder="1" applyAlignment="1" applyProtection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7" fillId="0" borderId="99" xfId="0" applyFont="1" applyBorder="1" applyAlignment="1">
      <alignment vertical="center"/>
    </xf>
    <xf numFmtId="170" fontId="17" fillId="2" borderId="13" xfId="0" applyNumberFormat="1" applyFont="1" applyFill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vertical="center"/>
    </xf>
    <xf numFmtId="2" fontId="20" fillId="0" borderId="101" xfId="0" applyNumberFormat="1" applyFont="1" applyBorder="1" applyAlignment="1" applyProtection="1">
      <alignment horizontal="center" vertical="center"/>
    </xf>
    <xf numFmtId="2" fontId="17" fillId="2" borderId="24" xfId="0" applyNumberFormat="1" applyFont="1" applyFill="1" applyBorder="1" applyAlignment="1" applyProtection="1">
      <alignment horizontal="center" vertical="center"/>
      <protection locked="0"/>
    </xf>
    <xf numFmtId="2" fontId="20" fillId="0" borderId="102" xfId="0" applyNumberFormat="1" applyFont="1" applyBorder="1" applyAlignment="1" applyProtection="1">
      <alignment horizontal="center" vertical="center"/>
    </xf>
    <xf numFmtId="2" fontId="0" fillId="0" borderId="24" xfId="0" applyNumberFormat="1" applyFont="1" applyBorder="1" applyAlignment="1" applyProtection="1">
      <alignment horizontal="center" vertical="center"/>
    </xf>
    <xf numFmtId="2" fontId="17" fillId="2" borderId="13" xfId="0" applyNumberFormat="1" applyFont="1" applyFill="1" applyBorder="1" applyAlignment="1" applyProtection="1">
      <alignment horizontal="center" vertical="center"/>
      <protection locked="0"/>
    </xf>
    <xf numFmtId="2" fontId="20" fillId="0" borderId="103" xfId="0" applyNumberFormat="1" applyFont="1" applyBorder="1" applyAlignment="1" applyProtection="1">
      <alignment horizontal="center" vertical="center"/>
    </xf>
    <xf numFmtId="0" fontId="37" fillId="0" borderId="9" xfId="0" applyFont="1" applyBorder="1" applyAlignment="1" applyProtection="1">
      <alignment vertical="center"/>
    </xf>
    <xf numFmtId="2" fontId="17" fillId="2" borderId="8" xfId="0" applyNumberFormat="1" applyFont="1" applyFill="1" applyBorder="1" applyAlignment="1" applyProtection="1">
      <alignment horizontal="center" vertical="center"/>
      <protection locked="0"/>
    </xf>
    <xf numFmtId="168" fontId="17" fillId="2" borderId="13" xfId="0" applyNumberFormat="1" applyFont="1" applyFill="1" applyBorder="1" applyAlignment="1" applyProtection="1">
      <alignment horizontal="center" vertical="center"/>
      <protection locked="0"/>
    </xf>
    <xf numFmtId="2" fontId="20" fillId="0" borderId="105" xfId="0" applyNumberFormat="1" applyFont="1" applyBorder="1" applyAlignment="1" applyProtection="1">
      <alignment horizontal="center" vertical="center"/>
    </xf>
    <xf numFmtId="167" fontId="35" fillId="0" borderId="0" xfId="0" applyNumberFormat="1" applyFont="1" applyBorder="1" applyAlignment="1" applyProtection="1">
      <alignment horizontal="center" vertical="center"/>
    </xf>
    <xf numFmtId="0" fontId="37" fillId="0" borderId="99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horizontal="center" vertical="center"/>
    </xf>
    <xf numFmtId="2" fontId="17" fillId="2" borderId="19" xfId="0" applyNumberFormat="1" applyFont="1" applyFill="1" applyBorder="1" applyAlignment="1" applyProtection="1">
      <alignment horizontal="center" vertical="center"/>
      <protection locked="0"/>
    </xf>
    <xf numFmtId="2" fontId="20" fillId="0" borderId="106" xfId="0" applyNumberFormat="1" applyFont="1" applyBorder="1" applyAlignment="1" applyProtection="1">
      <alignment horizontal="center" vertical="center"/>
    </xf>
    <xf numFmtId="0" fontId="37" fillId="0" borderId="107" xfId="0" applyFont="1" applyBorder="1" applyAlignment="1" applyProtection="1">
      <alignment horizontal="left" vertical="center"/>
    </xf>
    <xf numFmtId="0" fontId="37" fillId="0" borderId="107" xfId="0" applyFont="1" applyBorder="1" applyAlignment="1">
      <alignment vertical="center"/>
    </xf>
    <xf numFmtId="2" fontId="0" fillId="0" borderId="25" xfId="0" applyNumberFormat="1" applyFont="1" applyBorder="1" applyAlignment="1" applyProtection="1">
      <alignment horizontal="center" vertical="center"/>
    </xf>
    <xf numFmtId="2" fontId="17" fillId="2" borderId="108" xfId="0" applyNumberFormat="1" applyFont="1" applyFill="1" applyBorder="1" applyAlignment="1" applyProtection="1">
      <alignment horizontal="center" vertical="center"/>
      <protection locked="0"/>
    </xf>
    <xf numFmtId="0" fontId="37" fillId="0" borderId="109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0" xfId="0" applyAlignment="1"/>
    <xf numFmtId="168" fontId="56" fillId="0" borderId="0" xfId="0" applyNumberFormat="1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167" fontId="20" fillId="0" borderId="106" xfId="0" applyNumberFormat="1" applyFont="1" applyBorder="1" applyAlignment="1" applyProtection="1">
      <alignment horizontal="center" vertical="center"/>
    </xf>
    <xf numFmtId="0" fontId="37" fillId="0" borderId="96" xfId="0" applyFont="1" applyBorder="1" applyAlignment="1" applyProtection="1">
      <alignment vertical="center"/>
    </xf>
    <xf numFmtId="0" fontId="37" fillId="0" borderId="110" xfId="0" applyFont="1" applyBorder="1" applyAlignment="1" applyProtection="1">
      <alignment vertical="center"/>
    </xf>
    <xf numFmtId="168" fontId="0" fillId="0" borderId="111" xfId="0" applyNumberFormat="1" applyFont="1" applyBorder="1" applyAlignment="1" applyProtection="1">
      <alignment horizontal="center" vertical="center"/>
    </xf>
    <xf numFmtId="2" fontId="17" fillId="2" borderId="112" xfId="0" applyNumberFormat="1" applyFont="1" applyFill="1" applyBorder="1" applyAlignment="1" applyProtection="1">
      <alignment horizontal="center" vertical="center"/>
      <protection locked="0"/>
    </xf>
    <xf numFmtId="2" fontId="20" fillId="0" borderId="113" xfId="0" applyNumberFormat="1" applyFont="1" applyBorder="1" applyAlignment="1" applyProtection="1">
      <alignment horizontal="center" vertical="center"/>
    </xf>
    <xf numFmtId="2" fontId="0" fillId="0" borderId="7" xfId="0" applyNumberFormat="1" applyFont="1" applyBorder="1" applyAlignment="1" applyProtection="1">
      <alignment horizontal="center" vertical="center"/>
    </xf>
    <xf numFmtId="2" fontId="17" fillId="2" borderId="7" xfId="0" applyNumberFormat="1" applyFont="1" applyFill="1" applyBorder="1" applyAlignment="1" applyProtection="1">
      <alignment horizontal="center" vertical="center"/>
      <protection locked="0"/>
    </xf>
    <xf numFmtId="0" fontId="37" fillId="0" borderId="109" xfId="0" applyFont="1" applyBorder="1" applyAlignment="1">
      <alignment vertical="center"/>
    </xf>
    <xf numFmtId="168" fontId="17" fillId="2" borderId="24" xfId="0" applyNumberFormat="1" applyFont="1" applyFill="1" applyBorder="1" applyAlignment="1" applyProtection="1">
      <alignment horizontal="center" vertical="center"/>
      <protection locked="0"/>
    </xf>
    <xf numFmtId="168" fontId="0" fillId="0" borderId="23" xfId="0" applyNumberFormat="1" applyFont="1" applyBorder="1" applyAlignment="1" applyProtection="1">
      <alignment horizontal="center" vertical="center"/>
    </xf>
    <xf numFmtId="2" fontId="17" fillId="2" borderId="23" xfId="0" applyNumberFormat="1" applyFont="1" applyFill="1" applyBorder="1" applyAlignment="1" applyProtection="1">
      <alignment horizontal="center" vertical="center"/>
      <protection locked="0"/>
    </xf>
    <xf numFmtId="168" fontId="17" fillId="2" borderId="7" xfId="0" applyNumberFormat="1" applyFont="1" applyFill="1" applyBorder="1" applyAlignment="1" applyProtection="1">
      <alignment horizontal="center" vertical="center"/>
      <protection locked="0"/>
    </xf>
    <xf numFmtId="2" fontId="17" fillId="2" borderId="22" xfId="0" applyNumberFormat="1" applyFont="1" applyFill="1" applyBorder="1" applyAlignment="1" applyProtection="1">
      <alignment horizontal="center" vertical="center"/>
      <protection locked="0"/>
    </xf>
    <xf numFmtId="2" fontId="20" fillId="0" borderId="114" xfId="0" applyNumberFormat="1" applyFont="1" applyBorder="1" applyAlignment="1" applyProtection="1">
      <alignment horizontal="center" vertical="center"/>
    </xf>
    <xf numFmtId="2" fontId="17" fillId="2" borderId="20" xfId="0" applyNumberFormat="1" applyFont="1" applyFill="1" applyBorder="1" applyAlignment="1" applyProtection="1">
      <alignment horizontal="center" vertical="center"/>
      <protection locked="0"/>
    </xf>
    <xf numFmtId="2" fontId="20" fillId="0" borderId="115" xfId="0" applyNumberFormat="1" applyFont="1" applyBorder="1" applyAlignment="1" applyProtection="1">
      <alignment horizontal="center" vertical="center"/>
    </xf>
    <xf numFmtId="49" fontId="7" fillId="0" borderId="116" xfId="0" applyNumberFormat="1" applyFont="1" applyBorder="1" applyAlignment="1">
      <alignment horizontal="center" vertical="center"/>
    </xf>
    <xf numFmtId="2" fontId="17" fillId="0" borderId="117" xfId="0" applyNumberFormat="1" applyFont="1" applyBorder="1" applyAlignment="1">
      <alignment horizontal="center" vertical="center"/>
    </xf>
    <xf numFmtId="0" fontId="17" fillId="0" borderId="118" xfId="0" applyFont="1" applyBorder="1" applyAlignment="1">
      <alignment horizontal="center" vertical="center"/>
    </xf>
    <xf numFmtId="2" fontId="20" fillId="0" borderId="119" xfId="0" applyNumberFormat="1" applyFont="1" applyBorder="1" applyAlignment="1" applyProtection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0" fontId="0" fillId="0" borderId="120" xfId="0" applyBorder="1"/>
    <xf numFmtId="0" fontId="37" fillId="0" borderId="121" xfId="0" applyFont="1" applyBorder="1" applyAlignment="1">
      <alignment vertical="center"/>
    </xf>
    <xf numFmtId="168" fontId="0" fillId="0" borderId="42" xfId="0" applyNumberFormat="1" applyFont="1" applyBorder="1" applyAlignment="1" applyProtection="1">
      <alignment horizontal="center" vertical="center"/>
    </xf>
    <xf numFmtId="2" fontId="17" fillId="2" borderId="42" xfId="0" applyNumberFormat="1" applyFont="1" applyFill="1" applyBorder="1" applyAlignment="1" applyProtection="1">
      <alignment horizontal="center" vertical="center"/>
      <protection locked="0"/>
    </xf>
    <xf numFmtId="2" fontId="20" fillId="0" borderId="122" xfId="0" applyNumberFormat="1" applyFont="1" applyBorder="1" applyAlignment="1" applyProtection="1">
      <alignment horizontal="center" vertical="center"/>
    </xf>
    <xf numFmtId="0" fontId="37" fillId="0" borderId="123" xfId="0" applyFont="1" applyBorder="1" applyAlignment="1">
      <alignment vertical="center"/>
    </xf>
    <xf numFmtId="2" fontId="17" fillId="2" borderId="124" xfId="0" applyNumberFormat="1" applyFont="1" applyFill="1" applyBorder="1" applyAlignment="1" applyProtection="1">
      <alignment horizontal="center" vertical="center"/>
      <protection locked="0"/>
    </xf>
    <xf numFmtId="2" fontId="20" fillId="0" borderId="125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168" fontId="0" fillId="0" borderId="0" xfId="0" applyNumberFormat="1" applyFont="1" applyBorder="1" applyAlignment="1" applyProtection="1">
      <alignment horizontal="center" vertical="center"/>
    </xf>
    <xf numFmtId="1" fontId="7" fillId="0" borderId="126" xfId="0" applyNumberFormat="1" applyFont="1" applyBorder="1" applyAlignment="1">
      <alignment horizontal="center" vertical="center"/>
    </xf>
    <xf numFmtId="49" fontId="8" fillId="0" borderId="76" xfId="0" applyNumberFormat="1" applyFont="1" applyBorder="1" applyAlignment="1">
      <alignment vertical="center"/>
    </xf>
    <xf numFmtId="168" fontId="7" fillId="0" borderId="77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left" vertical="center"/>
    </xf>
    <xf numFmtId="0" fontId="57" fillId="0" borderId="0" xfId="0" applyFont="1" applyBorder="1" applyAlignment="1">
      <alignment vertical="center"/>
    </xf>
    <xf numFmtId="0" fontId="57" fillId="0" borderId="0" xfId="0" applyFont="1" applyBorder="1" applyAlignment="1" applyProtection="1">
      <alignment vertical="center"/>
    </xf>
    <xf numFmtId="1" fontId="7" fillId="0" borderId="127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vertical="center"/>
    </xf>
    <xf numFmtId="168" fontId="7" fillId="0" borderId="13" xfId="0" applyNumberFormat="1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173" fontId="51" fillId="0" borderId="3" xfId="0" applyNumberFormat="1" applyFont="1" applyBorder="1" applyAlignment="1" applyProtection="1">
      <alignment horizontal="center" vertical="center"/>
      <protection locked="0"/>
    </xf>
    <xf numFmtId="49" fontId="51" fillId="0" borderId="3" xfId="0" applyNumberFormat="1" applyFont="1" applyBorder="1" applyAlignment="1" applyProtection="1">
      <alignment horizontal="center" vertical="center"/>
      <protection locked="0"/>
    </xf>
    <xf numFmtId="168" fontId="56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49" fontId="8" fillId="0" borderId="24" xfId="0" applyNumberFormat="1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49" fontId="24" fillId="0" borderId="0" xfId="4" applyNumberFormat="1" applyFont="1" applyBorder="1" applyAlignment="1" applyProtection="1">
      <alignment horizontal="left" vertical="center"/>
      <protection locked="0"/>
    </xf>
    <xf numFmtId="49" fontId="9" fillId="0" borderId="0" xfId="0" applyNumberFormat="1" applyFont="1" applyBorder="1" applyAlignment="1">
      <alignment horizontal="center" vertical="center"/>
    </xf>
    <xf numFmtId="1" fontId="7" fillId="0" borderId="132" xfId="0" applyNumberFormat="1" applyFont="1" applyBorder="1" applyAlignment="1">
      <alignment horizontal="center" vertical="center"/>
    </xf>
    <xf numFmtId="49" fontId="8" fillId="0" borderId="116" xfId="0" applyNumberFormat="1" applyFont="1" applyBorder="1" applyAlignment="1">
      <alignment vertical="center"/>
    </xf>
    <xf numFmtId="168" fontId="7" fillId="0" borderId="117" xfId="0" applyNumberFormat="1" applyFont="1" applyBorder="1" applyAlignment="1">
      <alignment horizontal="center" vertical="center"/>
    </xf>
    <xf numFmtId="2" fontId="0" fillId="0" borderId="136" xfId="0" applyNumberFormat="1" applyBorder="1" applyAlignment="1">
      <alignment horizontal="center" vertical="center"/>
    </xf>
    <xf numFmtId="0" fontId="51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58" fillId="0" borderId="0" xfId="0" applyFont="1" applyBorder="1" applyAlignment="1">
      <alignment vertical="center"/>
    </xf>
    <xf numFmtId="0" fontId="59" fillId="0" borderId="0" xfId="0" applyFont="1" applyBorder="1" applyAlignment="1">
      <alignment horizontal="left" vertical="center"/>
    </xf>
    <xf numFmtId="0" fontId="58" fillId="0" borderId="0" xfId="0" applyFont="1" applyBorder="1" applyAlignment="1">
      <alignment horizontal="left" vertical="center"/>
    </xf>
    <xf numFmtId="0" fontId="60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9" fontId="61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 vertical="center"/>
    </xf>
    <xf numFmtId="2" fontId="63" fillId="0" borderId="0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25" fillId="0" borderId="0" xfId="0" applyFont="1"/>
    <xf numFmtId="0" fontId="0" fillId="0" borderId="137" xfId="0" applyBorder="1" applyAlignment="1">
      <alignment horizontal="center" vertical="center"/>
    </xf>
    <xf numFmtId="2" fontId="0" fillId="0" borderId="138" xfId="0" applyNumberFormat="1" applyBorder="1" applyAlignment="1">
      <alignment horizontal="center" vertical="center"/>
    </xf>
    <xf numFmtId="2" fontId="0" fillId="0" borderId="139" xfId="0" applyNumberFormat="1" applyBorder="1" applyAlignment="1">
      <alignment horizontal="center" vertical="center"/>
    </xf>
    <xf numFmtId="170" fontId="17" fillId="0" borderId="6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172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16" fillId="0" borderId="140" xfId="0" applyFont="1" applyBorder="1" applyAlignment="1">
      <alignment horizontal="center" vertical="center"/>
    </xf>
    <xf numFmtId="0" fontId="4" fillId="0" borderId="0" xfId="5" applyFont="1" applyAlignment="1">
      <alignment horizontal="center" vertical="center" wrapText="1"/>
    </xf>
    <xf numFmtId="0" fontId="3" fillId="0" borderId="0" xfId="5" applyAlignment="1">
      <alignment vertical="center"/>
    </xf>
    <xf numFmtId="0" fontId="4" fillId="0" borderId="141" xfId="5" applyFont="1" applyBorder="1" applyAlignment="1">
      <alignment horizontal="center" vertical="center"/>
    </xf>
    <xf numFmtId="0" fontId="4" fillId="0" borderId="142" xfId="5" applyFont="1" applyBorder="1" applyAlignment="1">
      <alignment horizontal="center" vertical="center"/>
    </xf>
    <xf numFmtId="0" fontId="75" fillId="0" borderId="8" xfId="5" applyFont="1" applyBorder="1" applyAlignment="1">
      <alignment vertical="center"/>
    </xf>
    <xf numFmtId="0" fontId="19" fillId="0" borderId="143" xfId="5" applyFont="1" applyFill="1" applyBorder="1" applyAlignment="1" applyProtection="1">
      <alignment horizontal="center" vertical="center"/>
      <protection locked="0"/>
    </xf>
    <xf numFmtId="0" fontId="3" fillId="0" borderId="25" xfId="5" applyFont="1" applyBorder="1" applyAlignment="1">
      <alignment horizontal="center" vertical="center"/>
    </xf>
    <xf numFmtId="0" fontId="3" fillId="0" borderId="26" xfId="5" applyFont="1" applyBorder="1" applyAlignment="1">
      <alignment horizontal="center" vertical="center"/>
    </xf>
    <xf numFmtId="0" fontId="3" fillId="0" borderId="25" xfId="5" applyBorder="1" applyAlignment="1">
      <alignment horizontal="center" vertical="center"/>
    </xf>
    <xf numFmtId="0" fontId="3" fillId="0" borderId="26" xfId="5" applyBorder="1" applyAlignment="1">
      <alignment horizontal="center" vertical="center"/>
    </xf>
    <xf numFmtId="1" fontId="3" fillId="0" borderId="0" xfId="5" applyNumberFormat="1" applyBorder="1" applyAlignment="1">
      <alignment horizontal="center" vertical="center"/>
    </xf>
    <xf numFmtId="0" fontId="3" fillId="0" borderId="25" xfId="5" applyFill="1" applyBorder="1" applyAlignment="1">
      <alignment horizontal="center" vertical="center"/>
    </xf>
    <xf numFmtId="0" fontId="3" fillId="0" borderId="26" xfId="5" applyFill="1" applyBorder="1" applyAlignment="1">
      <alignment horizontal="center" vertical="center"/>
    </xf>
    <xf numFmtId="0" fontId="3" fillId="0" borderId="25" xfId="5" applyBorder="1" applyAlignment="1">
      <alignment horizontal="left" vertical="center"/>
    </xf>
    <xf numFmtId="0" fontId="3" fillId="0" borderId="0" xfId="5" applyNumberFormat="1" applyAlignment="1">
      <alignment vertical="center"/>
    </xf>
    <xf numFmtId="0" fontId="75" fillId="0" borderId="13" xfId="5" applyFont="1" applyBorder="1" applyAlignment="1">
      <alignment vertical="center"/>
    </xf>
    <xf numFmtId="167" fontId="3" fillId="0" borderId="0" xfId="5" applyNumberFormat="1" applyBorder="1" applyAlignment="1">
      <alignment horizontal="center" vertical="center"/>
    </xf>
    <xf numFmtId="1" fontId="3" fillId="0" borderId="26" xfId="5" applyNumberFormat="1" applyBorder="1" applyAlignment="1">
      <alignment horizontal="center" vertical="center"/>
    </xf>
    <xf numFmtId="0" fontId="3" fillId="0" borderId="8" xfId="5" applyBorder="1" applyAlignment="1">
      <alignment horizontal="left" vertical="center"/>
    </xf>
    <xf numFmtId="0" fontId="3" fillId="0" borderId="9" xfId="5" applyBorder="1" applyAlignment="1">
      <alignment horizontal="center" vertical="center"/>
    </xf>
    <xf numFmtId="1" fontId="3" fillId="0" borderId="26" xfId="5" applyNumberFormat="1" applyFill="1" applyBorder="1" applyAlignment="1">
      <alignment horizontal="center" vertical="center"/>
    </xf>
    <xf numFmtId="0" fontId="3" fillId="0" borderId="8" xfId="5" applyBorder="1" applyAlignment="1">
      <alignment horizontal="center" vertical="center"/>
    </xf>
    <xf numFmtId="1" fontId="3" fillId="0" borderId="21" xfId="5" applyNumberFormat="1" applyBorder="1" applyAlignment="1">
      <alignment horizontal="center" vertical="center"/>
    </xf>
    <xf numFmtId="0" fontId="3" fillId="0" borderId="8" xfId="5" applyFill="1" applyBorder="1" applyAlignment="1">
      <alignment horizontal="center" vertical="center"/>
    </xf>
    <xf numFmtId="0" fontId="3" fillId="0" borderId="9" xfId="5" applyFill="1" applyBorder="1" applyAlignment="1">
      <alignment horizontal="center" vertical="center"/>
    </xf>
    <xf numFmtId="0" fontId="62" fillId="0" borderId="0" xfId="5" applyNumberFormat="1" applyFont="1" applyAlignment="1">
      <alignment vertical="center"/>
    </xf>
    <xf numFmtId="0" fontId="78" fillId="0" borderId="0" xfId="5" applyFont="1" applyAlignment="1">
      <alignment vertical="center"/>
    </xf>
    <xf numFmtId="0" fontId="3" fillId="0" borderId="25" xfId="5" applyFont="1" applyBorder="1" applyAlignment="1">
      <alignment vertical="center"/>
    </xf>
    <xf numFmtId="0" fontId="3" fillId="0" borderId="0" xfId="5" applyBorder="1" applyAlignment="1">
      <alignment horizontal="center" vertical="center"/>
    </xf>
    <xf numFmtId="1" fontId="3" fillId="0" borderId="25" xfId="5" applyNumberFormat="1" applyBorder="1" applyAlignment="1">
      <alignment horizontal="center" vertical="center"/>
    </xf>
    <xf numFmtId="1" fontId="3" fillId="0" borderId="0" xfId="5" applyNumberFormat="1" applyBorder="1" applyAlignment="1">
      <alignment vertical="center"/>
    </xf>
    <xf numFmtId="0" fontId="3" fillId="0" borderId="146" xfId="5" applyFont="1" applyBorder="1" applyAlignment="1">
      <alignment horizontal="center" vertical="center"/>
    </xf>
    <xf numFmtId="0" fontId="3" fillId="0" borderId="147" xfId="5" applyBorder="1" applyAlignment="1">
      <alignment vertical="center"/>
    </xf>
    <xf numFmtId="0" fontId="3" fillId="0" borderId="148" xfId="5" applyBorder="1" applyAlignment="1">
      <alignment vertical="center"/>
    </xf>
    <xf numFmtId="0" fontId="8" fillId="0" borderId="149" xfId="5" applyFont="1" applyBorder="1" applyAlignment="1">
      <alignment horizontal="center" vertical="center"/>
    </xf>
    <xf numFmtId="0" fontId="3" fillId="0" borderId="0" xfId="5" applyBorder="1" applyAlignment="1">
      <alignment vertical="center"/>
    </xf>
    <xf numFmtId="0" fontId="3" fillId="0" borderId="26" xfId="5" applyBorder="1" applyAlignment="1">
      <alignment vertical="center"/>
    </xf>
    <xf numFmtId="0" fontId="62" fillId="0" borderId="0" xfId="5" applyFont="1" applyAlignment="1">
      <alignment horizontal="center" vertical="center"/>
    </xf>
    <xf numFmtId="0" fontId="3" fillId="0" borderId="8" xfId="5" applyFont="1" applyBorder="1" applyAlignment="1">
      <alignment vertical="center"/>
    </xf>
    <xf numFmtId="0" fontId="3" fillId="0" borderId="21" xfId="5" applyBorder="1" applyAlignment="1">
      <alignment horizontal="center" vertical="center"/>
    </xf>
    <xf numFmtId="1" fontId="3" fillId="0" borderId="26" xfId="5" applyNumberFormat="1" applyFont="1" applyFill="1" applyBorder="1" applyAlignment="1">
      <alignment horizontal="center" vertical="center"/>
    </xf>
    <xf numFmtId="0" fontId="3" fillId="0" borderId="0" xfId="5" applyAlignment="1">
      <alignment horizontal="center" vertical="center"/>
    </xf>
    <xf numFmtId="1" fontId="3" fillId="0" borderId="9" xfId="5" applyNumberFormat="1" applyBorder="1" applyAlignment="1">
      <alignment horizontal="center" vertical="center"/>
    </xf>
    <xf numFmtId="1" fontId="3" fillId="0" borderId="8" xfId="5" applyNumberFormat="1" applyBorder="1" applyAlignment="1">
      <alignment horizontal="center" vertical="center"/>
    </xf>
    <xf numFmtId="1" fontId="3" fillId="0" borderId="21" xfId="5" applyNumberFormat="1" applyBorder="1" applyAlignment="1">
      <alignment vertical="center"/>
    </xf>
    <xf numFmtId="0" fontId="3" fillId="0" borderId="0" xfId="5" applyFill="1" applyBorder="1" applyAlignment="1">
      <alignment horizontal="center" vertical="center"/>
    </xf>
    <xf numFmtId="2" fontId="3" fillId="0" borderId="0" xfId="5" applyNumberFormat="1" applyFill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9" xfId="5" applyBorder="1" applyAlignment="1">
      <alignment vertical="center"/>
    </xf>
    <xf numFmtId="0" fontId="3" fillId="0" borderId="0" xfId="5"/>
    <xf numFmtId="0" fontId="64" fillId="0" borderId="25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3" xfId="0" applyFont="1" applyBorder="1"/>
    <xf numFmtId="0" fontId="1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3" borderId="0" xfId="0" applyFont="1" applyFill="1"/>
    <xf numFmtId="0" fontId="17" fillId="3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150" xfId="0" applyFont="1" applyBorder="1"/>
    <xf numFmtId="0" fontId="7" fillId="6" borderId="10" xfId="0" applyFont="1" applyFill="1" applyBorder="1" applyAlignment="1">
      <alignment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6" borderId="137" xfId="0" applyFont="1" applyFill="1" applyBorder="1" applyAlignment="1">
      <alignment vertical="center" wrapText="1"/>
    </xf>
    <xf numFmtId="0" fontId="17" fillId="6" borderId="138" xfId="0" applyFont="1" applyFill="1" applyBorder="1" applyAlignment="1">
      <alignment horizontal="center" vertical="center"/>
    </xf>
    <xf numFmtId="0" fontId="17" fillId="6" borderId="13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7" fillId="0" borderId="153" xfId="0" applyFont="1" applyFill="1" applyBorder="1" applyAlignment="1">
      <alignment horizontal="center" vertical="center"/>
    </xf>
    <xf numFmtId="0" fontId="17" fillId="0" borderId="154" xfId="0" applyFont="1" applyFill="1" applyBorder="1" applyAlignment="1">
      <alignment horizontal="center" vertical="center"/>
    </xf>
    <xf numFmtId="0" fontId="7" fillId="3" borderId="3" xfId="0" applyFont="1" applyFill="1" applyBorder="1"/>
    <xf numFmtId="0" fontId="17" fillId="3" borderId="3" xfId="0" applyFont="1" applyFill="1" applyBorder="1"/>
    <xf numFmtId="0" fontId="17" fillId="0" borderId="3" xfId="0" applyFont="1" applyBorder="1"/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vertical="top" wrapText="1"/>
    </xf>
    <xf numFmtId="0" fontId="17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7" fillId="0" borderId="158" xfId="0" applyFont="1" applyBorder="1" applyAlignment="1">
      <alignment vertical="center"/>
    </xf>
    <xf numFmtId="0" fontId="0" fillId="0" borderId="160" xfId="0" applyBorder="1"/>
    <xf numFmtId="0" fontId="27" fillId="5" borderId="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top"/>
    </xf>
    <xf numFmtId="0" fontId="27" fillId="0" borderId="134" xfId="0" applyFont="1" applyFill="1" applyBorder="1" applyAlignment="1">
      <alignment horizontal="center" vertical="center"/>
    </xf>
    <xf numFmtId="0" fontId="0" fillId="0" borderId="134" xfId="0" applyBorder="1"/>
    <xf numFmtId="0" fontId="19" fillId="0" borderId="163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5" borderId="134" xfId="0" applyFont="1" applyFill="1" applyBorder="1" applyAlignment="1">
      <alignment horizontal="center" vertical="center"/>
    </xf>
    <xf numFmtId="0" fontId="27" fillId="5" borderId="177" xfId="0" applyFont="1" applyFill="1" applyBorder="1" applyAlignment="1">
      <alignment horizontal="center" vertical="top"/>
    </xf>
    <xf numFmtId="0" fontId="27" fillId="0" borderId="12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center"/>
    </xf>
    <xf numFmtId="167" fontId="20" fillId="0" borderId="28" xfId="0" applyNumberFormat="1" applyFont="1" applyBorder="1" applyAlignment="1" applyProtection="1">
      <alignment horizontal="center" vertical="center"/>
    </xf>
    <xf numFmtId="167" fontId="20" fillId="0" borderId="16" xfId="0" applyNumberFormat="1" applyFont="1" applyBorder="1" applyAlignment="1" applyProtection="1">
      <alignment horizontal="center" vertical="center"/>
    </xf>
    <xf numFmtId="167" fontId="20" fillId="0" borderId="9" xfId="0" applyNumberFormat="1" applyFont="1" applyBorder="1" applyAlignment="1" applyProtection="1">
      <alignment horizontal="center" vertical="center"/>
    </xf>
    <xf numFmtId="167" fontId="20" fillId="0" borderId="54" xfId="0" applyNumberFormat="1" applyFont="1" applyBorder="1" applyAlignment="1" applyProtection="1">
      <alignment horizontal="center" vertical="center"/>
    </xf>
    <xf numFmtId="167" fontId="20" fillId="0" borderId="53" xfId="0" applyNumberFormat="1" applyFont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49" fontId="24" fillId="0" borderId="0" xfId="4" applyNumberFormat="1" applyFont="1" applyBorder="1" applyAlignment="1" applyProtection="1">
      <alignment horizontal="center" vertical="center"/>
      <protection locked="0"/>
    </xf>
    <xf numFmtId="49" fontId="24" fillId="0" borderId="134" xfId="4" applyNumberFormat="1" applyFont="1" applyBorder="1" applyAlignment="1" applyProtection="1">
      <alignment horizontal="center" vertical="center"/>
      <protection locked="0"/>
    </xf>
    <xf numFmtId="49" fontId="24" fillId="0" borderId="12" xfId="4" applyNumberFormat="1" applyFont="1" applyBorder="1" applyAlignment="1" applyProtection="1">
      <alignment horizontal="center" vertical="center"/>
      <protection locked="0"/>
    </xf>
    <xf numFmtId="49" fontId="24" fillId="0" borderId="135" xfId="4" applyNumberFormat="1" applyFont="1" applyBorder="1" applyAlignment="1" applyProtection="1">
      <alignment horizontal="center" vertical="center"/>
      <protection locked="0"/>
    </xf>
    <xf numFmtId="168" fontId="0" fillId="0" borderId="28" xfId="0" applyNumberFormat="1" applyFont="1" applyBorder="1" applyAlignment="1" applyProtection="1">
      <alignment horizontal="center" vertical="center"/>
    </xf>
    <xf numFmtId="168" fontId="0" fillId="0" borderId="24" xfId="0" applyNumberFormat="1" applyFont="1" applyBorder="1" applyAlignment="1" applyProtection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5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24" fillId="0" borderId="0" xfId="2" applyFont="1" applyBorder="1" applyAlignment="1">
      <alignment horizontal="right" vertical="center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167" fontId="18" fillId="0" borderId="0" xfId="0" applyNumberFormat="1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right" vertical="top"/>
    </xf>
    <xf numFmtId="49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Border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center" vertical="top"/>
      <protection locked="0"/>
    </xf>
    <xf numFmtId="0" fontId="16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0" fillId="0" borderId="178" xfId="0" applyBorder="1" applyAlignment="1">
      <alignment horizontal="center" vertical="center"/>
    </xf>
    <xf numFmtId="2" fontId="0" fillId="0" borderId="179" xfId="0" applyNumberFormat="1" applyBorder="1" applyAlignment="1">
      <alignment horizontal="center" vertical="center"/>
    </xf>
    <xf numFmtId="0" fontId="0" fillId="0" borderId="180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0" fillId="0" borderId="181" xfId="0" applyFont="1" applyBorder="1" applyAlignment="1">
      <alignment horizontal="right" vertical="center"/>
    </xf>
    <xf numFmtId="0" fontId="20" fillId="0" borderId="182" xfId="0" applyFont="1" applyBorder="1" applyAlignment="1">
      <alignment horizontal="right" vertical="center" wrapText="1"/>
    </xf>
    <xf numFmtId="0" fontId="21" fillId="0" borderId="0" xfId="22" applyFont="1" applyBorder="1" applyAlignment="1">
      <alignment horizontal="center" vertical="top"/>
    </xf>
    <xf numFmtId="0" fontId="2" fillId="0" borderId="25" xfId="22" applyFont="1" applyBorder="1" applyAlignment="1">
      <alignment horizontal="center" vertical="center"/>
    </xf>
    <xf numFmtId="0" fontId="2" fillId="0" borderId="26" xfId="22" applyFont="1" applyBorder="1"/>
    <xf numFmtId="0" fontId="24" fillId="0" borderId="23" xfId="22" applyFont="1" applyBorder="1" applyAlignment="1">
      <alignment horizontal="center" vertical="center"/>
    </xf>
    <xf numFmtId="0" fontId="24" fillId="0" borderId="24" xfId="22" applyFont="1" applyBorder="1" applyAlignment="1">
      <alignment horizontal="center" vertical="center" wrapText="1"/>
    </xf>
    <xf numFmtId="0" fontId="24" fillId="0" borderId="0" xfId="22" applyFont="1" applyBorder="1" applyAlignment="1">
      <alignment horizontal="center" vertical="center"/>
    </xf>
    <xf numFmtId="0" fontId="4" fillId="3" borderId="27" xfId="22" applyFont="1" applyFill="1" applyBorder="1" applyAlignment="1" applyProtection="1">
      <alignment horizontal="center" vertical="center"/>
      <protection locked="0"/>
    </xf>
    <xf numFmtId="2" fontId="2" fillId="0" borderId="0" xfId="22" applyNumberFormat="1" applyFont="1" applyBorder="1" applyAlignment="1" applyProtection="1">
      <alignment horizontal="center" vertical="center"/>
      <protection locked="0"/>
    </xf>
    <xf numFmtId="0" fontId="24" fillId="0" borderId="7" xfId="22" applyFont="1" applyBorder="1" applyAlignment="1">
      <alignment horizontal="center" vertical="center"/>
    </xf>
    <xf numFmtId="2" fontId="2" fillId="0" borderId="35" xfId="22" applyNumberFormat="1" applyFont="1" applyBorder="1" applyAlignment="1">
      <alignment horizontal="center" vertical="center"/>
    </xf>
    <xf numFmtId="167" fontId="16" fillId="0" borderId="0" xfId="0" applyNumberFormat="1" applyFont="1" applyBorder="1" applyAlignment="1" applyProtection="1">
      <alignment horizontal="center" vertical="center"/>
    </xf>
    <xf numFmtId="0" fontId="2" fillId="0" borderId="0" xfId="22" applyFont="1" applyAlignment="1">
      <alignment horizontal="center" vertical="center"/>
    </xf>
    <xf numFmtId="2" fontId="4" fillId="0" borderId="8" xfId="22" applyNumberFormat="1" applyFont="1" applyBorder="1" applyAlignment="1">
      <alignment horizontal="center" vertical="center"/>
    </xf>
    <xf numFmtId="0" fontId="2" fillId="0" borderId="9" xfId="22" applyFont="1" applyBorder="1"/>
    <xf numFmtId="0" fontId="2" fillId="0" borderId="25" xfId="22" applyFont="1" applyBorder="1" applyAlignment="1">
      <alignment horizontal="left" vertical="center"/>
    </xf>
    <xf numFmtId="0" fontId="2" fillId="0" borderId="26" xfId="22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18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2" fillId="0" borderId="25" xfId="22" applyFont="1" applyBorder="1"/>
    <xf numFmtId="1" fontId="7" fillId="2" borderId="8" xfId="0" applyNumberFormat="1" applyFont="1" applyFill="1" applyBorder="1" applyAlignment="1" applyProtection="1">
      <alignment horizontal="center" vertical="center"/>
      <protection locked="0"/>
    </xf>
    <xf numFmtId="1" fontId="7" fillId="2" borderId="96" xfId="0" applyNumberFormat="1" applyFont="1" applyFill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</xf>
    <xf numFmtId="0" fontId="85" fillId="0" borderId="0" xfId="0" applyFont="1"/>
    <xf numFmtId="0" fontId="20" fillId="0" borderId="0" xfId="0" applyFont="1" applyBorder="1" applyAlignment="1">
      <alignment horizontal="left" vertical="center"/>
    </xf>
    <xf numFmtId="167" fontId="20" fillId="0" borderId="96" xfId="0" applyNumberFormat="1" applyFont="1" applyBorder="1" applyAlignment="1" applyProtection="1">
      <alignment horizontal="center" vertical="center"/>
    </xf>
    <xf numFmtId="167" fontId="20" fillId="0" borderId="13" xfId="0" applyNumberFormat="1" applyFont="1" applyBorder="1" applyAlignment="1" applyProtection="1">
      <alignment horizontal="center" vertical="center"/>
    </xf>
    <xf numFmtId="167" fontId="20" fillId="0" borderId="188" xfId="0" applyNumberFormat="1" applyFont="1" applyBorder="1" applyAlignment="1" applyProtection="1">
      <alignment horizontal="center" vertical="center"/>
    </xf>
    <xf numFmtId="167" fontId="20" fillId="0" borderId="189" xfId="0" applyNumberFormat="1" applyFont="1" applyBorder="1" applyAlignment="1" applyProtection="1">
      <alignment horizontal="center" vertical="center"/>
    </xf>
    <xf numFmtId="167" fontId="20" fillId="0" borderId="141" xfId="0" applyNumberFormat="1" applyFont="1" applyBorder="1" applyAlignment="1" applyProtection="1">
      <alignment horizontal="center" vertical="center"/>
    </xf>
    <xf numFmtId="167" fontId="20" fillId="0" borderId="39" xfId="0" applyNumberFormat="1" applyFont="1" applyBorder="1" applyAlignment="1" applyProtection="1">
      <alignment horizontal="center" vertical="center"/>
    </xf>
    <xf numFmtId="167" fontId="20" fillId="0" borderId="190" xfId="0" applyNumberFormat="1" applyFont="1" applyBorder="1" applyAlignment="1" applyProtection="1">
      <alignment horizontal="center" vertical="center"/>
    </xf>
    <xf numFmtId="167" fontId="20" fillId="0" borderId="49" xfId="0" applyNumberFormat="1" applyFont="1" applyBorder="1" applyAlignment="1" applyProtection="1">
      <alignment horizontal="center" vertical="center"/>
    </xf>
    <xf numFmtId="1" fontId="20" fillId="0" borderId="191" xfId="0" applyNumberFormat="1" applyFont="1" applyBorder="1" applyAlignment="1" applyProtection="1">
      <alignment horizontal="center" vertical="center"/>
    </xf>
    <xf numFmtId="0" fontId="2" fillId="0" borderId="26" xfId="22" applyFont="1" applyBorder="1" applyAlignment="1">
      <alignment horizontal="center"/>
    </xf>
    <xf numFmtId="1" fontId="7" fillId="2" borderId="99" xfId="0" applyNumberFormat="1" applyFont="1" applyFill="1" applyBorder="1" applyAlignment="1" applyProtection="1">
      <alignment horizontal="center" vertical="center"/>
      <protection locked="0"/>
    </xf>
    <xf numFmtId="167" fontId="20" fillId="0" borderId="99" xfId="0" applyNumberFormat="1" applyFont="1" applyBorder="1" applyAlignment="1" applyProtection="1">
      <alignment horizontal="center" vertical="center"/>
    </xf>
    <xf numFmtId="0" fontId="2" fillId="0" borderId="8" xfId="22" applyFont="1" applyBorder="1"/>
    <xf numFmtId="0" fontId="2" fillId="0" borderId="9" xfId="22" applyFont="1" applyBorder="1" applyAlignment="1">
      <alignment horizontal="center"/>
    </xf>
    <xf numFmtId="0" fontId="9" fillId="0" borderId="25" xfId="0" applyFont="1" applyFill="1" applyBorder="1" applyAlignment="1">
      <alignment vertical="center"/>
    </xf>
    <xf numFmtId="2" fontId="7" fillId="0" borderId="0" xfId="0" applyNumberFormat="1" applyFont="1" applyFill="1" applyBorder="1" applyAlignment="1" applyProtection="1">
      <alignment horizontal="center" vertical="center"/>
      <protection locked="0"/>
    </xf>
    <xf numFmtId="1" fontId="20" fillId="0" borderId="99" xfId="0" applyNumberFormat="1" applyFont="1" applyBorder="1" applyAlignment="1" applyProtection="1">
      <alignment horizontal="center" vertical="center"/>
    </xf>
    <xf numFmtId="0" fontId="8" fillId="0" borderId="74" xfId="0" applyFont="1" applyBorder="1" applyAlignment="1">
      <alignment horizontal="center"/>
    </xf>
    <xf numFmtId="0" fontId="7" fillId="0" borderId="76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2" fontId="86" fillId="0" borderId="0" xfId="0" applyNumberFormat="1" applyFont="1" applyBorder="1" applyAlignment="1">
      <alignment horizontal="left" vertical="center"/>
    </xf>
    <xf numFmtId="168" fontId="86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0" fontId="87" fillId="0" borderId="7" xfId="0" applyFont="1" applyBorder="1" applyAlignment="1">
      <alignment horizontal="left" vertical="center"/>
    </xf>
    <xf numFmtId="0" fontId="87" fillId="0" borderId="7" xfId="0" applyFont="1" applyBorder="1" applyAlignment="1">
      <alignment horizontal="center" vertical="center"/>
    </xf>
    <xf numFmtId="0" fontId="87" fillId="0" borderId="7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vertical="center"/>
    </xf>
    <xf numFmtId="2" fontId="4" fillId="0" borderId="19" xfId="0" applyNumberFormat="1" applyFont="1" applyBorder="1" applyAlignment="1">
      <alignment horizontal="right" vertical="center"/>
    </xf>
    <xf numFmtId="0" fontId="90" fillId="0" borderId="86" xfId="0" applyFont="1" applyBorder="1" applyAlignment="1">
      <alignment horizontal="center" vertical="center"/>
    </xf>
    <xf numFmtId="0" fontId="44" fillId="0" borderId="17" xfId="0" applyFont="1" applyBorder="1" applyAlignment="1">
      <alignment horizontal="right" vertical="center"/>
    </xf>
    <xf numFmtId="1" fontId="44" fillId="0" borderId="88" xfId="0" applyNumberFormat="1" applyFont="1" applyBorder="1" applyAlignment="1" applyProtection="1">
      <alignment horizontal="center" vertical="center"/>
      <protection locked="0"/>
    </xf>
    <xf numFmtId="1" fontId="16" fillId="0" borderId="89" xfId="0" applyNumberFormat="1" applyFont="1" applyBorder="1" applyAlignment="1">
      <alignment horizontal="center" vertical="center"/>
    </xf>
    <xf numFmtId="168" fontId="86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17" fillId="8" borderId="0" xfId="0" applyNumberFormat="1" applyFont="1" applyFill="1" applyBorder="1" applyAlignment="1" applyProtection="1">
      <alignment horizontal="center" vertical="center"/>
      <protection locked="0"/>
    </xf>
    <xf numFmtId="174" fontId="51" fillId="0" borderId="129" xfId="0" applyNumberFormat="1" applyFont="1" applyBorder="1" applyAlignment="1" applyProtection="1">
      <alignment horizontal="center" vertical="center"/>
      <protection locked="0"/>
    </xf>
    <xf numFmtId="167" fontId="20" fillId="0" borderId="0" xfId="0" applyNumberFormat="1" applyFont="1" applyBorder="1" applyAlignment="1" applyProtection="1">
      <alignment horizontal="left" vertical="center"/>
    </xf>
    <xf numFmtId="174" fontId="51" fillId="0" borderId="6" xfId="0" applyNumberFormat="1" applyFont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horizontal="left" vertical="center"/>
      <protection locked="0"/>
    </xf>
    <xf numFmtId="0" fontId="51" fillId="0" borderId="193" xfId="0" applyFont="1" applyBorder="1" applyAlignment="1" applyProtection="1">
      <alignment horizontal="left" vertical="center"/>
      <protection locked="0"/>
    </xf>
    <xf numFmtId="0" fontId="51" fillId="0" borderId="12" xfId="0" applyFont="1" applyBorder="1" applyAlignment="1" applyProtection="1">
      <alignment horizontal="left" vertical="center"/>
      <protection locked="0"/>
    </xf>
    <xf numFmtId="0" fontId="51" fillId="0" borderId="135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/>
    </xf>
    <xf numFmtId="167" fontId="20" fillId="0" borderId="24" xfId="0" applyNumberFormat="1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 vertical="center"/>
    </xf>
    <xf numFmtId="2" fontId="24" fillId="2" borderId="18" xfId="4" applyNumberFormat="1" applyFont="1" applyFill="1" applyBorder="1" applyAlignment="1" applyProtection="1">
      <alignment horizontal="center" vertical="center"/>
      <protection locked="0"/>
    </xf>
    <xf numFmtId="167" fontId="20" fillId="0" borderId="24" xfId="0" applyNumberFormat="1" applyFont="1" applyBorder="1" applyAlignment="1" applyProtection="1">
      <alignment horizontal="right" vertical="center"/>
    </xf>
    <xf numFmtId="167" fontId="20" fillId="0" borderId="9" xfId="0" applyNumberFormat="1" applyFont="1" applyBorder="1" applyAlignment="1">
      <alignment horizontal="center" vertical="center"/>
    </xf>
    <xf numFmtId="167" fontId="16" fillId="0" borderId="48" xfId="0" applyNumberFormat="1" applyFont="1" applyBorder="1" applyAlignment="1" applyProtection="1">
      <alignment horizontal="center" vertical="center"/>
    </xf>
    <xf numFmtId="167" fontId="16" fillId="0" borderId="18" xfId="0" applyNumberFormat="1" applyFont="1" applyBorder="1" applyAlignment="1" applyProtection="1">
      <alignment horizontal="center" vertical="center"/>
    </xf>
    <xf numFmtId="0" fontId="0" fillId="0" borderId="194" xfId="0" applyBorder="1"/>
    <xf numFmtId="0" fontId="7" fillId="0" borderId="194" xfId="0" applyFont="1" applyBorder="1" applyAlignment="1">
      <alignment horizontal="right" vertical="center"/>
    </xf>
    <xf numFmtId="0" fontId="19" fillId="0" borderId="194" xfId="0" applyFont="1" applyBorder="1" applyAlignment="1">
      <alignment horizontal="right" vertical="center"/>
    </xf>
    <xf numFmtId="0" fontId="27" fillId="0" borderId="15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63" xfId="0" applyFont="1" applyFill="1" applyBorder="1" applyAlignment="1">
      <alignment horizontal="center" vertical="center"/>
    </xf>
    <xf numFmtId="172" fontId="1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2" fontId="33" fillId="0" borderId="24" xfId="0" applyNumberFormat="1" applyFont="1" applyBorder="1" applyAlignment="1" applyProtection="1">
      <alignment horizontal="center" vertical="center"/>
    </xf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2" fontId="91" fillId="0" borderId="0" xfId="0" applyNumberFormat="1" applyFont="1" applyBorder="1"/>
    <xf numFmtId="0" fontId="0" fillId="0" borderId="2" xfId="0" applyBorder="1" applyAlignment="1">
      <alignment vertical="center"/>
    </xf>
    <xf numFmtId="0" fontId="0" fillId="0" borderId="134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194" xfId="0" applyFont="1" applyFill="1" applyBorder="1" applyAlignment="1">
      <alignment horizontal="right" vertical="center"/>
    </xf>
    <xf numFmtId="0" fontId="27" fillId="5" borderId="2" xfId="0" applyFont="1" applyFill="1" applyBorder="1" applyAlignment="1">
      <alignment horizontal="center" vertical="center"/>
    </xf>
    <xf numFmtId="0" fontId="27" fillId="5" borderId="177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176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196" xfId="0" applyFont="1" applyFill="1" applyBorder="1" applyAlignment="1">
      <alignment horizontal="center" vertical="center"/>
    </xf>
    <xf numFmtId="0" fontId="37" fillId="0" borderId="174" xfId="0" applyFont="1" applyBorder="1" applyAlignment="1">
      <alignment horizontal="center" vertical="center"/>
    </xf>
    <xf numFmtId="0" fontId="37" fillId="0" borderId="168" xfId="0" applyFont="1" applyBorder="1" applyAlignment="1">
      <alignment horizontal="center" vertical="center"/>
    </xf>
    <xf numFmtId="0" fontId="37" fillId="0" borderId="169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166" xfId="0" applyFont="1" applyBorder="1" applyAlignment="1">
      <alignment horizontal="center" vertical="center"/>
    </xf>
    <xf numFmtId="0" fontId="37" fillId="0" borderId="164" xfId="0" applyFont="1" applyBorder="1" applyAlignment="1">
      <alignment horizontal="center" vertical="center"/>
    </xf>
    <xf numFmtId="0" fontId="37" fillId="0" borderId="172" xfId="0" applyFont="1" applyBorder="1" applyAlignment="1">
      <alignment horizontal="center" vertical="center"/>
    </xf>
    <xf numFmtId="0" fontId="37" fillId="0" borderId="175" xfId="0" applyFont="1" applyBorder="1" applyAlignment="1">
      <alignment horizontal="center" vertical="center"/>
    </xf>
    <xf numFmtId="0" fontId="37" fillId="0" borderId="170" xfId="0" applyFont="1" applyBorder="1" applyAlignment="1">
      <alignment horizontal="center" vertical="center"/>
    </xf>
    <xf numFmtId="0" fontId="37" fillId="0" borderId="170" xfId="0" applyFont="1" applyFill="1" applyBorder="1" applyAlignment="1">
      <alignment horizontal="center" vertical="center"/>
    </xf>
    <xf numFmtId="0" fontId="37" fillId="0" borderId="171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167" xfId="0" applyFont="1" applyBorder="1" applyAlignment="1">
      <alignment horizontal="center" vertical="center"/>
    </xf>
    <xf numFmtId="0" fontId="37" fillId="0" borderId="165" xfId="0" applyFont="1" applyBorder="1" applyAlignment="1">
      <alignment horizontal="center" vertical="center"/>
    </xf>
    <xf numFmtId="0" fontId="37" fillId="0" borderId="173" xfId="0" applyFont="1" applyBorder="1" applyAlignment="1">
      <alignment horizontal="center" vertical="center"/>
    </xf>
    <xf numFmtId="0" fontId="0" fillId="0" borderId="177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0" fontId="7" fillId="0" borderId="197" xfId="0" applyNumberFormat="1" applyFont="1" applyBorder="1" applyAlignment="1">
      <alignment horizontal="center" vertical="center"/>
    </xf>
    <xf numFmtId="170" fontId="7" fillId="0" borderId="128" xfId="0" applyNumberFormat="1" applyFont="1" applyBorder="1" applyAlignment="1">
      <alignment horizontal="center" vertical="center"/>
    </xf>
    <xf numFmtId="170" fontId="7" fillId="0" borderId="199" xfId="0" applyNumberFormat="1" applyFont="1" applyBorder="1" applyAlignment="1">
      <alignment horizontal="center" vertical="center"/>
    </xf>
    <xf numFmtId="170" fontId="7" fillId="0" borderId="198" xfId="0" applyNumberFormat="1" applyFont="1" applyBorder="1" applyAlignment="1">
      <alignment horizontal="center" vertical="center"/>
    </xf>
    <xf numFmtId="170" fontId="7" fillId="0" borderId="133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0" fillId="0" borderId="4" xfId="0" applyBorder="1"/>
    <xf numFmtId="0" fontId="92" fillId="0" borderId="195" xfId="0" applyFont="1" applyFill="1" applyBorder="1" applyAlignment="1">
      <alignment horizontal="center" vertical="center"/>
    </xf>
    <xf numFmtId="0" fontId="92" fillId="0" borderId="200" xfId="0" applyFont="1" applyFill="1" applyBorder="1" applyAlignment="1">
      <alignment horizontal="center" vertical="center"/>
    </xf>
    <xf numFmtId="0" fontId="27" fillId="0" borderId="201" xfId="0" applyFont="1" applyFill="1" applyBorder="1" applyAlignment="1">
      <alignment horizontal="center" vertical="center"/>
    </xf>
    <xf numFmtId="0" fontId="27" fillId="5" borderId="129" xfId="0" applyFont="1" applyFill="1" applyBorder="1" applyAlignment="1">
      <alignment horizontal="center" vertical="center"/>
    </xf>
    <xf numFmtId="0" fontId="27" fillId="0" borderId="129" xfId="0" applyFont="1" applyFill="1" applyBorder="1" applyAlignment="1">
      <alignment horizontal="center" vertical="center"/>
    </xf>
    <xf numFmtId="0" fontId="27" fillId="5" borderId="202" xfId="0" applyFont="1" applyFill="1" applyBorder="1" applyAlignment="1">
      <alignment horizontal="center" vertical="center"/>
    </xf>
    <xf numFmtId="0" fontId="27" fillId="0" borderId="203" xfId="0" applyFont="1" applyFill="1" applyBorder="1" applyAlignment="1">
      <alignment horizontal="center" vertical="center"/>
    </xf>
    <xf numFmtId="0" fontId="27" fillId="5" borderId="204" xfId="0" applyFont="1" applyFill="1" applyBorder="1" applyAlignment="1">
      <alignment horizontal="center" vertical="center"/>
    </xf>
    <xf numFmtId="0" fontId="27" fillId="5" borderId="205" xfId="0" applyFont="1" applyFill="1" applyBorder="1" applyAlignment="1">
      <alignment horizontal="center" vertical="top"/>
    </xf>
    <xf numFmtId="0" fontId="92" fillId="0" borderId="206" xfId="0" applyFont="1" applyFill="1" applyBorder="1" applyAlignment="1">
      <alignment horizontal="center" vertical="center"/>
    </xf>
    <xf numFmtId="0" fontId="0" fillId="0" borderId="1" xfId="0" applyBorder="1"/>
    <xf numFmtId="0" fontId="27" fillId="5" borderId="12" xfId="0" applyFont="1" applyFill="1" applyBorder="1" applyAlignment="1">
      <alignment horizontal="center" vertical="center"/>
    </xf>
    <xf numFmtId="0" fontId="0" fillId="0" borderId="12" xfId="0" applyBorder="1"/>
    <xf numFmtId="0" fontId="27" fillId="5" borderId="136" xfId="0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136" xfId="0" applyFont="1" applyFill="1" applyBorder="1" applyAlignment="1">
      <alignment horizontal="center" vertical="top"/>
    </xf>
    <xf numFmtId="0" fontId="0" fillId="0" borderId="207" xfId="0" applyBorder="1"/>
    <xf numFmtId="0" fontId="27" fillId="0" borderId="208" xfId="0" applyFont="1" applyFill="1" applyBorder="1" applyAlignment="1">
      <alignment horizontal="center" vertical="center"/>
    </xf>
    <xf numFmtId="0" fontId="27" fillId="5" borderId="131" xfId="0" applyFont="1" applyFill="1" applyBorder="1" applyAlignment="1">
      <alignment horizontal="center" vertical="center"/>
    </xf>
    <xf numFmtId="0" fontId="27" fillId="0" borderId="131" xfId="0" applyFont="1" applyFill="1" applyBorder="1" applyAlignment="1">
      <alignment horizontal="center" vertical="center"/>
    </xf>
    <xf numFmtId="0" fontId="27" fillId="5" borderId="209" xfId="0" applyFont="1" applyFill="1" applyBorder="1" applyAlignment="1">
      <alignment horizontal="center" vertical="center"/>
    </xf>
    <xf numFmtId="0" fontId="27" fillId="0" borderId="210" xfId="0" applyFont="1" applyFill="1" applyBorder="1" applyAlignment="1">
      <alignment horizontal="center" vertical="center"/>
    </xf>
    <xf numFmtId="0" fontId="27" fillId="5" borderId="211" xfId="0" applyFont="1" applyFill="1" applyBorder="1" applyAlignment="1">
      <alignment horizontal="center" vertical="center"/>
    </xf>
    <xf numFmtId="0" fontId="27" fillId="5" borderId="212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right" vertical="center"/>
    </xf>
    <xf numFmtId="0" fontId="27" fillId="0" borderId="213" xfId="0" applyFont="1" applyFill="1" applyBorder="1" applyAlignment="1">
      <alignment horizontal="center" vertical="center"/>
    </xf>
    <xf numFmtId="0" fontId="27" fillId="0" borderId="129" xfId="0" applyFont="1" applyFill="1" applyBorder="1" applyAlignment="1">
      <alignment horizontal="center" vertical="center" wrapText="1"/>
    </xf>
    <xf numFmtId="0" fontId="92" fillId="0" borderId="51" xfId="0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84" xfId="0" applyBorder="1" applyAlignment="1">
      <alignment horizontal="center"/>
    </xf>
    <xf numFmtId="0" fontId="0" fillId="0" borderId="84" xfId="0" applyBorder="1" applyAlignment="1">
      <alignment horizontal="center" vertical="center"/>
    </xf>
    <xf numFmtId="0" fontId="54" fillId="2" borderId="24" xfId="22" applyFont="1" applyFill="1" applyBorder="1" applyAlignment="1" applyProtection="1">
      <alignment horizontal="center" vertical="center"/>
      <protection locked="0"/>
    </xf>
    <xf numFmtId="2" fontId="54" fillId="2" borderId="28" xfId="22" applyNumberFormat="1" applyFont="1" applyFill="1" applyBorder="1" applyAlignment="1" applyProtection="1">
      <alignment horizontal="center" vertical="center"/>
      <protection locked="0"/>
    </xf>
    <xf numFmtId="0" fontId="92" fillId="0" borderId="214" xfId="0" applyFont="1" applyFill="1" applyBorder="1" applyAlignment="1">
      <alignment horizontal="center" vertical="center"/>
    </xf>
    <xf numFmtId="172" fontId="0" fillId="0" borderId="25" xfId="0" applyNumberFormat="1" applyBorder="1" applyAlignment="1">
      <alignment horizontal="center" vertical="center"/>
    </xf>
    <xf numFmtId="172" fontId="0" fillId="0" borderId="25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 vertical="top"/>
    </xf>
    <xf numFmtId="0" fontId="92" fillId="0" borderId="20" xfId="0" applyFont="1" applyFill="1" applyBorder="1" applyAlignment="1">
      <alignment horizontal="center" vertical="center"/>
    </xf>
    <xf numFmtId="0" fontId="92" fillId="0" borderId="17" xfId="0" applyFont="1" applyFill="1" applyBorder="1" applyAlignment="1">
      <alignment horizontal="center" vertical="center"/>
    </xf>
    <xf numFmtId="0" fontId="92" fillId="0" borderId="215" xfId="0" applyFont="1" applyFill="1" applyBorder="1" applyAlignment="1">
      <alignment horizontal="center" vertical="center"/>
    </xf>
    <xf numFmtId="0" fontId="92" fillId="0" borderId="217" xfId="0" applyFont="1" applyFill="1" applyBorder="1" applyAlignment="1">
      <alignment horizontal="center" vertical="center"/>
    </xf>
    <xf numFmtId="0" fontId="7" fillId="0" borderId="151" xfId="0" applyFont="1" applyBorder="1" applyAlignment="1">
      <alignment horizontal="center"/>
    </xf>
    <xf numFmtId="0" fontId="7" fillId="0" borderId="152" xfId="0" applyFont="1" applyBorder="1" applyAlignment="1">
      <alignment horizontal="center"/>
    </xf>
    <xf numFmtId="0" fontId="0" fillId="0" borderId="224" xfId="0" applyBorder="1"/>
    <xf numFmtId="0" fontId="7" fillId="0" borderId="225" xfId="0" applyFont="1" applyBorder="1" applyAlignment="1">
      <alignment horizontal="center"/>
    </xf>
    <xf numFmtId="174" fontId="59" fillId="0" borderId="129" xfId="0" applyNumberFormat="1" applyFont="1" applyBorder="1" applyAlignment="1" applyProtection="1">
      <alignment horizontal="center" vertical="center"/>
      <protection locked="0"/>
    </xf>
    <xf numFmtId="173" fontId="59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0" fontId="17" fillId="0" borderId="226" xfId="0" applyNumberFormat="1" applyFont="1" applyBorder="1" applyAlignment="1" applyProtection="1">
      <alignment horizontal="center" vertical="center"/>
    </xf>
    <xf numFmtId="2" fontId="17" fillId="0" borderId="227" xfId="0" applyNumberFormat="1" applyFont="1" applyBorder="1" applyAlignment="1" applyProtection="1">
      <alignment horizontal="center" vertical="center"/>
    </xf>
    <xf numFmtId="2" fontId="25" fillId="0" borderId="227" xfId="0" applyNumberFormat="1" applyFont="1" applyBorder="1" applyAlignment="1" applyProtection="1">
      <alignment horizontal="center" vertical="center"/>
    </xf>
    <xf numFmtId="164" fontId="17" fillId="0" borderId="87" xfId="0" applyNumberFormat="1" applyFont="1" applyBorder="1" applyAlignment="1" applyProtection="1">
      <alignment horizontal="center" vertical="center"/>
    </xf>
    <xf numFmtId="2" fontId="17" fillId="0" borderId="228" xfId="0" applyNumberFormat="1" applyFont="1" applyBorder="1" applyAlignment="1" applyProtection="1">
      <alignment horizontal="center" vertical="center"/>
    </xf>
    <xf numFmtId="167" fontId="17" fillId="2" borderId="2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9" fillId="0" borderId="0" xfId="0" applyFont="1" applyBorder="1" applyAlignment="1"/>
    <xf numFmtId="0" fontId="0" fillId="0" borderId="0" xfId="0" applyBorder="1" applyAlignment="1" applyProtection="1">
      <alignment horizontal="center" vertical="center"/>
      <protection locked="0"/>
    </xf>
    <xf numFmtId="0" fontId="0" fillId="0" borderId="90" xfId="0" applyBorder="1"/>
    <xf numFmtId="0" fontId="0" fillId="0" borderId="0" xfId="0" applyFont="1" applyBorder="1" applyAlignment="1">
      <alignment horizontal="center" vertical="center"/>
    </xf>
    <xf numFmtId="0" fontId="64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61" xfId="0" applyFont="1" applyBorder="1" applyAlignment="1">
      <alignment horizontal="left" vertical="center"/>
    </xf>
    <xf numFmtId="0" fontId="7" fillId="0" borderId="162" xfId="0" applyFont="1" applyBorder="1" applyAlignment="1">
      <alignment horizontal="left" vertical="center"/>
    </xf>
    <xf numFmtId="0" fontId="8" fillId="7" borderId="15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horizontal="center"/>
    </xf>
    <xf numFmtId="0" fontId="19" fillId="0" borderId="0" xfId="0" applyFont="1" applyBorder="1" applyAlignment="1"/>
    <xf numFmtId="0" fontId="16" fillId="0" borderId="0" xfId="0" applyFont="1" applyBorder="1" applyAlignment="1" applyProtection="1">
      <alignment horizontal="left" vertical="center"/>
    </xf>
    <xf numFmtId="0" fontId="8" fillId="0" borderId="90" xfId="0" applyFont="1" applyBorder="1" applyAlignment="1">
      <alignment horizontal="center" vertical="center"/>
    </xf>
    <xf numFmtId="0" fontId="0" fillId="0" borderId="150" xfId="0" applyBorder="1"/>
    <xf numFmtId="0" fontId="0" fillId="0" borderId="226" xfId="0" applyBorder="1"/>
    <xf numFmtId="0" fontId="8" fillId="0" borderId="226" xfId="0" applyFont="1" applyFill="1" applyBorder="1" applyAlignment="1" applyProtection="1">
      <alignment horizontal="center" vertical="center"/>
      <protection locked="0"/>
    </xf>
    <xf numFmtId="0" fontId="8" fillId="7" borderId="242" xfId="0" applyFont="1" applyFill="1" applyBorder="1" applyAlignment="1" applyProtection="1">
      <alignment horizontal="center" vertical="center" wrapText="1"/>
      <protection locked="0"/>
    </xf>
    <xf numFmtId="0" fontId="19" fillId="0" borderId="162" xfId="0" applyFont="1" applyBorder="1" applyAlignment="1">
      <alignment horizontal="left"/>
    </xf>
    <xf numFmtId="0" fontId="8" fillId="0" borderId="244" xfId="0" applyFont="1" applyBorder="1" applyAlignment="1">
      <alignment vertical="center"/>
    </xf>
    <xf numFmtId="0" fontId="0" fillId="0" borderId="228" xfId="0" applyFont="1" applyFill="1" applyBorder="1" applyAlignment="1">
      <alignment horizontal="center"/>
    </xf>
    <xf numFmtId="0" fontId="0" fillId="0" borderId="87" xfId="0" applyBorder="1"/>
    <xf numFmtId="0" fontId="0" fillId="0" borderId="11" xfId="0" applyFont="1" applyFill="1" applyBorder="1" applyAlignment="1">
      <alignment horizontal="center"/>
    </xf>
    <xf numFmtId="0" fontId="16" fillId="0" borderId="236" xfId="0" applyFont="1" applyBorder="1" applyAlignment="1" applyProtection="1">
      <alignment horizontal="center" vertical="center"/>
    </xf>
    <xf numFmtId="0" fontId="16" fillId="0" borderId="134" xfId="0" applyFont="1" applyBorder="1" applyAlignment="1" applyProtection="1">
      <alignment horizontal="center" vertical="center"/>
    </xf>
    <xf numFmtId="0" fontId="16" fillId="0" borderId="157" xfId="0" applyFont="1" applyBorder="1" applyAlignment="1" applyProtection="1">
      <alignment horizontal="center" vertical="center"/>
    </xf>
    <xf numFmtId="0" fontId="16" fillId="0" borderId="232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227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6" fillId="0" borderId="243" xfId="0" applyFont="1" applyBorder="1" applyAlignment="1" applyProtection="1">
      <alignment horizontal="center" vertical="center"/>
    </xf>
    <xf numFmtId="0" fontId="16" fillId="0" borderId="160" xfId="0" applyFont="1" applyBorder="1" applyAlignment="1" applyProtection="1">
      <alignment horizontal="center" vertical="center"/>
    </xf>
    <xf numFmtId="0" fontId="16" fillId="0" borderId="162" xfId="0" applyFont="1" applyBorder="1" applyAlignment="1" applyProtection="1">
      <alignment horizontal="center" vertical="center"/>
    </xf>
    <xf numFmtId="0" fontId="16" fillId="0" borderId="231" xfId="0" applyFont="1" applyBorder="1" applyAlignment="1" applyProtection="1">
      <alignment horizontal="center" vertical="center"/>
    </xf>
    <xf numFmtId="0" fontId="16" fillId="0" borderId="247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248" xfId="0" applyFont="1" applyBorder="1" applyAlignment="1" applyProtection="1">
      <alignment horizontal="center" vertical="center"/>
    </xf>
    <xf numFmtId="0" fontId="0" fillId="0" borderId="9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7" fillId="0" borderId="244" xfId="0" applyFont="1" applyBorder="1"/>
    <xf numFmtId="0" fontId="16" fillId="0" borderId="252" xfId="0" applyFont="1" applyBorder="1" applyAlignment="1" applyProtection="1">
      <alignment horizontal="center" vertical="center"/>
    </xf>
    <xf numFmtId="0" fontId="16" fillId="0" borderId="253" xfId="0" applyFont="1" applyBorder="1" applyAlignment="1" applyProtection="1">
      <alignment horizontal="center" vertical="center"/>
    </xf>
    <xf numFmtId="0" fontId="16" fillId="0" borderId="254" xfId="0" applyFont="1" applyBorder="1" applyAlignment="1" applyProtection="1">
      <alignment horizontal="center" vertical="center"/>
    </xf>
    <xf numFmtId="0" fontId="16" fillId="0" borderId="255" xfId="0" applyFont="1" applyBorder="1" applyAlignment="1" applyProtection="1">
      <alignment horizontal="center" vertical="center"/>
    </xf>
    <xf numFmtId="0" fontId="16" fillId="0" borderId="257" xfId="0" applyFont="1" applyBorder="1" applyAlignment="1" applyProtection="1">
      <alignment horizontal="center" vertical="center"/>
    </xf>
    <xf numFmtId="0" fontId="16" fillId="0" borderId="256" xfId="0" applyFont="1" applyBorder="1" applyAlignment="1" applyProtection="1">
      <alignment horizontal="center" vertical="center"/>
    </xf>
    <xf numFmtId="0" fontId="16" fillId="0" borderId="258" xfId="0" applyFont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1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16" fillId="0" borderId="0" xfId="0" applyFont="1" applyFill="1" applyBorder="1" applyAlignment="1" applyProtection="1">
      <alignment horizontal="left" vertical="center"/>
    </xf>
    <xf numFmtId="0" fontId="0" fillId="0" borderId="0" xfId="0" applyFill="1" applyBorder="1"/>
    <xf numFmtId="0" fontId="1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0" fontId="19" fillId="0" borderId="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19" fillId="0" borderId="3" xfId="0" applyFont="1" applyBorder="1" applyAlignment="1">
      <alignment horizontal="left" vertical="center"/>
    </xf>
    <xf numFmtId="0" fontId="19" fillId="0" borderId="90" xfId="0" applyFont="1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6" fillId="0" borderId="259" xfId="0" applyFont="1" applyBorder="1" applyAlignment="1" applyProtection="1">
      <alignment horizontal="center" vertical="center"/>
    </xf>
    <xf numFmtId="0" fontId="16" fillId="0" borderId="260" xfId="0" applyFont="1" applyBorder="1" applyAlignment="1" applyProtection="1">
      <alignment horizontal="center" vertical="center"/>
    </xf>
    <xf numFmtId="0" fontId="0" fillId="0" borderId="244" xfId="0" applyBorder="1"/>
    <xf numFmtId="0" fontId="7" fillId="0" borderId="244" xfId="0" applyFont="1" applyBorder="1" applyAlignment="1">
      <alignment vertical="center"/>
    </xf>
    <xf numFmtId="0" fontId="16" fillId="0" borderId="244" xfId="0" applyFont="1" applyBorder="1" applyAlignment="1" applyProtection="1">
      <alignment horizontal="center" vertical="center"/>
    </xf>
    <xf numFmtId="0" fontId="16" fillId="0" borderId="261" xfId="0" applyFont="1" applyBorder="1" applyAlignment="1" applyProtection="1">
      <alignment horizontal="center" vertical="center"/>
    </xf>
    <xf numFmtId="0" fontId="16" fillId="0" borderId="262" xfId="0" applyFont="1" applyBorder="1" applyAlignment="1" applyProtection="1">
      <alignment horizontal="center" vertical="center"/>
    </xf>
    <xf numFmtId="0" fontId="16" fillId="0" borderId="263" xfId="0" applyFont="1" applyBorder="1" applyAlignment="1" applyProtection="1">
      <alignment horizontal="center" vertical="center"/>
    </xf>
    <xf numFmtId="168" fontId="0" fillId="0" borderId="24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00" fillId="4" borderId="24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/>
    </xf>
    <xf numFmtId="9" fontId="17" fillId="4" borderId="24" xfId="0" applyNumberFormat="1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/>
    <xf numFmtId="0" fontId="17" fillId="4" borderId="13" xfId="0" applyFont="1" applyFill="1" applyBorder="1" applyAlignment="1">
      <alignment horizontal="center"/>
    </xf>
    <xf numFmtId="49" fontId="17" fillId="4" borderId="28" xfId="0" applyNumberFormat="1" applyFont="1" applyFill="1" applyBorder="1" applyAlignment="1">
      <alignment horizontal="center"/>
    </xf>
    <xf numFmtId="0" fontId="17" fillId="0" borderId="24" xfId="0" applyFont="1" applyBorder="1" applyAlignment="1">
      <alignment horizontal="center" vertical="center"/>
    </xf>
    <xf numFmtId="0" fontId="100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/>
    </xf>
    <xf numFmtId="9" fontId="17" fillId="0" borderId="24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/>
    <xf numFmtId="0" fontId="17" fillId="0" borderId="13" xfId="0" applyFont="1" applyFill="1" applyBorder="1" applyAlignment="1">
      <alignment horizontal="center"/>
    </xf>
    <xf numFmtId="49" fontId="17" fillId="0" borderId="28" xfId="0" applyNumberFormat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9" fontId="17" fillId="4" borderId="24" xfId="0" applyNumberFormat="1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vertical="center"/>
    </xf>
    <xf numFmtId="49" fontId="17" fillId="4" borderId="28" xfId="0" applyNumberFormat="1" applyFont="1" applyFill="1" applyBorder="1" applyAlignment="1">
      <alignment horizontal="center" vertical="center"/>
    </xf>
    <xf numFmtId="9" fontId="17" fillId="0" borderId="24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49" fontId="17" fillId="0" borderId="28" xfId="0" applyNumberFormat="1" applyFont="1" applyFill="1" applyBorder="1" applyAlignment="1">
      <alignment horizontal="center" vertical="center"/>
    </xf>
    <xf numFmtId="0" fontId="7" fillId="0" borderId="90" xfId="0" applyFont="1" applyBorder="1" applyAlignment="1">
      <alignment horizontal="center"/>
    </xf>
    <xf numFmtId="176" fontId="3" fillId="0" borderId="0" xfId="5" applyNumberFormat="1" applyAlignment="1" applyProtection="1">
      <alignment horizontal="center" vertical="center"/>
    </xf>
    <xf numFmtId="176" fontId="3" fillId="0" borderId="0" xfId="5" applyNumberFormat="1" applyAlignment="1" applyProtection="1">
      <alignment vertical="center"/>
    </xf>
    <xf numFmtId="176" fontId="3" fillId="0" borderId="0" xfId="5" applyNumberFormat="1" applyAlignment="1">
      <alignment vertical="center"/>
    </xf>
    <xf numFmtId="176" fontId="76" fillId="0" borderId="0" xfId="5" applyNumberFormat="1" applyFont="1" applyAlignment="1" applyProtection="1">
      <alignment horizontal="center" vertical="center"/>
    </xf>
    <xf numFmtId="176" fontId="24" fillId="0" borderId="0" xfId="5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9" borderId="0" xfId="12" applyFont="1" applyFill="1" applyAlignment="1">
      <alignment vertical="center"/>
    </xf>
    <xf numFmtId="0" fontId="81" fillId="9" borderId="0" xfId="12" applyFill="1" applyAlignment="1">
      <alignment horizontal="center"/>
    </xf>
    <xf numFmtId="0" fontId="81" fillId="9" borderId="0" xfId="12" applyFill="1"/>
    <xf numFmtId="0" fontId="9" fillId="9" borderId="0" xfId="12" applyFont="1" applyFill="1" applyAlignment="1">
      <alignment horizontal="left"/>
    </xf>
    <xf numFmtId="0" fontId="81" fillId="9" borderId="0" xfId="12" applyFill="1" applyBorder="1" applyAlignment="1">
      <alignment horizontal="center"/>
    </xf>
    <xf numFmtId="0" fontId="81" fillId="9" borderId="0" xfId="12" applyFill="1" applyAlignment="1">
      <alignment horizontal="left"/>
    </xf>
    <xf numFmtId="0" fontId="81" fillId="0" borderId="0" xfId="12"/>
    <xf numFmtId="0" fontId="81" fillId="9" borderId="0" xfId="12" applyFill="1" applyBorder="1" applyAlignment="1">
      <alignment horizontal="left"/>
    </xf>
    <xf numFmtId="14" fontId="81" fillId="9" borderId="0" xfId="12" applyNumberFormat="1" applyFill="1" applyBorder="1" applyAlignment="1">
      <alignment horizontal="center"/>
    </xf>
    <xf numFmtId="0" fontId="9" fillId="9" borderId="24" xfId="12" applyFont="1" applyFill="1" applyBorder="1" applyAlignment="1">
      <alignment horizontal="center" vertical="center" wrapText="1"/>
    </xf>
    <xf numFmtId="0" fontId="102" fillId="9" borderId="24" xfId="12" applyFont="1" applyFill="1" applyBorder="1" applyAlignment="1">
      <alignment horizontal="center" vertical="center" wrapText="1"/>
    </xf>
    <xf numFmtId="0" fontId="7" fillId="9" borderId="0" xfId="12" applyFont="1" applyFill="1" applyAlignment="1">
      <alignment horizontal="left"/>
    </xf>
    <xf numFmtId="0" fontId="103" fillId="12" borderId="0" xfId="12" applyFont="1" applyFill="1" applyBorder="1" applyAlignment="1" applyProtection="1">
      <alignment horizontal="center"/>
      <protection locked="0"/>
    </xf>
    <xf numFmtId="0" fontId="103" fillId="13" borderId="0" xfId="12" applyFont="1" applyFill="1" applyBorder="1" applyAlignment="1" applyProtection="1">
      <alignment horizontal="center"/>
      <protection locked="0"/>
    </xf>
    <xf numFmtId="0" fontId="103" fillId="10" borderId="0" xfId="12" applyFont="1" applyFill="1" applyBorder="1" applyAlignment="1" applyProtection="1">
      <alignment horizontal="center"/>
      <protection locked="0"/>
    </xf>
    <xf numFmtId="0" fontId="103" fillId="11" borderId="0" xfId="12" applyFont="1" applyFill="1" applyBorder="1" applyAlignment="1" applyProtection="1">
      <alignment horizontal="center"/>
      <protection locked="0"/>
    </xf>
    <xf numFmtId="172" fontId="81" fillId="9" borderId="0" xfId="12" applyNumberFormat="1" applyFill="1" applyAlignment="1">
      <alignment horizontal="center"/>
    </xf>
    <xf numFmtId="172" fontId="81" fillId="9" borderId="0" xfId="12" applyNumberFormat="1" applyFill="1"/>
    <xf numFmtId="172" fontId="9" fillId="9" borderId="25" xfId="12" applyNumberFormat="1" applyFont="1" applyFill="1" applyBorder="1" applyAlignment="1">
      <alignment horizontal="center" vertical="center" wrapText="1"/>
    </xf>
    <xf numFmtId="172" fontId="9" fillId="9" borderId="0" xfId="12" applyNumberFormat="1" applyFont="1" applyFill="1" applyBorder="1" applyAlignment="1">
      <alignment horizontal="center" vertical="center" wrapText="1"/>
    </xf>
    <xf numFmtId="172" fontId="81" fillId="9" borderId="25" xfId="12" applyNumberFormat="1" applyFill="1" applyBorder="1" applyAlignment="1">
      <alignment horizontal="center"/>
    </xf>
    <xf numFmtId="172" fontId="81" fillId="9" borderId="0" xfId="12" applyNumberFormat="1" applyFill="1" applyBorder="1" applyAlignment="1">
      <alignment horizontal="center"/>
    </xf>
    <xf numFmtId="14" fontId="81" fillId="9" borderId="24" xfId="12" applyNumberFormat="1" applyFill="1" applyBorder="1" applyAlignment="1" applyProtection="1">
      <alignment horizontal="center" vertical="center"/>
      <protection locked="0"/>
    </xf>
    <xf numFmtId="2" fontId="81" fillId="9" borderId="24" xfId="12" applyNumberFormat="1" applyFill="1" applyBorder="1" applyAlignment="1" applyProtection="1">
      <alignment horizontal="center" vertical="center"/>
      <protection locked="0"/>
    </xf>
    <xf numFmtId="2" fontId="81" fillId="9" borderId="24" xfId="12" applyNumberFormat="1" applyFill="1" applyBorder="1" applyAlignment="1">
      <alignment horizontal="center" vertical="center"/>
    </xf>
    <xf numFmtId="0" fontId="81" fillId="9" borderId="24" xfId="12" applyFill="1" applyBorder="1" applyAlignment="1" applyProtection="1">
      <alignment horizontal="center" vertical="center"/>
      <protection locked="0"/>
    </xf>
    <xf numFmtId="168" fontId="81" fillId="9" borderId="24" xfId="12" applyNumberFormat="1" applyFill="1" applyBorder="1" applyAlignment="1" applyProtection="1">
      <alignment horizontal="center" vertical="center"/>
      <protection locked="0"/>
    </xf>
    <xf numFmtId="2" fontId="101" fillId="9" borderId="24" xfId="12" applyNumberFormat="1" applyFont="1" applyFill="1" applyBorder="1" applyAlignment="1">
      <alignment horizontal="center" vertical="center"/>
    </xf>
    <xf numFmtId="2" fontId="81" fillId="9" borderId="22" xfId="12" applyNumberFormat="1" applyFill="1" applyBorder="1" applyAlignment="1" applyProtection="1">
      <alignment horizontal="center" vertical="center"/>
      <protection locked="0"/>
    </xf>
    <xf numFmtId="168" fontId="81" fillId="9" borderId="22" xfId="12" applyNumberFormat="1" applyFill="1" applyBorder="1" applyAlignment="1" applyProtection="1">
      <alignment horizontal="center" vertical="center"/>
      <protection locked="0"/>
    </xf>
    <xf numFmtId="0" fontId="81" fillId="9" borderId="22" xfId="12" applyFill="1" applyBorder="1" applyAlignment="1" applyProtection="1">
      <alignment horizontal="center" vertical="center"/>
      <protection locked="0"/>
    </xf>
    <xf numFmtId="0" fontId="9" fillId="0" borderId="264" xfId="0" applyFont="1" applyBorder="1" applyAlignment="1">
      <alignment horizontal="center" vertical="center" wrapText="1"/>
    </xf>
    <xf numFmtId="0" fontId="9" fillId="0" borderId="265" xfId="0" applyFont="1" applyBorder="1" applyAlignment="1">
      <alignment horizontal="center" vertical="center" wrapText="1"/>
    </xf>
    <xf numFmtId="0" fontId="4" fillId="0" borderId="264" xfId="0" applyFont="1" applyBorder="1" applyAlignment="1">
      <alignment horizontal="center" vertical="center"/>
    </xf>
    <xf numFmtId="0" fontId="2" fillId="0" borderId="266" xfId="0" applyFont="1" applyBorder="1" applyAlignment="1">
      <alignment horizontal="center" vertical="center"/>
    </xf>
    <xf numFmtId="0" fontId="4" fillId="0" borderId="265" xfId="0" applyFont="1" applyBorder="1" applyAlignment="1">
      <alignment horizontal="center" vertical="center" wrapText="1"/>
    </xf>
    <xf numFmtId="0" fontId="2" fillId="0" borderId="139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9" fontId="8" fillId="0" borderId="0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Protection="1"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20" fillId="0" borderId="17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 applyProtection="1">
      <alignment horizontal="left" vertical="top" wrapText="1"/>
      <protection locked="0"/>
    </xf>
    <xf numFmtId="49" fontId="0" fillId="0" borderId="0" xfId="0" applyNumberFormat="1" applyBorder="1" applyProtection="1">
      <protection locked="0"/>
    </xf>
    <xf numFmtId="49" fontId="6" fillId="0" borderId="0" xfId="0" applyNumberFormat="1" applyFont="1" applyBorder="1" applyAlignment="1" applyProtection="1">
      <alignment horizontal="center" vertical="top"/>
      <protection locked="0"/>
    </xf>
    <xf numFmtId="0" fontId="8" fillId="0" borderId="23" xfId="0" applyFont="1" applyBorder="1" applyAlignment="1">
      <alignment horizontal="center" vertical="center"/>
    </xf>
    <xf numFmtId="0" fontId="4" fillId="0" borderId="22" xfId="22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9" xfId="0" applyFont="1" applyBorder="1" applyAlignment="1">
      <alignment horizontal="center" wrapText="1"/>
    </xf>
    <xf numFmtId="0" fontId="23" fillId="0" borderId="19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21" fillId="0" borderId="21" xfId="22" applyFont="1" applyBorder="1" applyAlignment="1">
      <alignment horizontal="center" vertical="top"/>
    </xf>
    <xf numFmtId="0" fontId="7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wrapText="1"/>
    </xf>
    <xf numFmtId="0" fontId="18" fillId="0" borderId="22" xfId="0" applyFont="1" applyBorder="1" applyAlignment="1">
      <alignment horizontal="center" vertical="center" wrapText="1"/>
    </xf>
    <xf numFmtId="0" fontId="4" fillId="0" borderId="22" xfId="22" applyFont="1" applyBorder="1" applyAlignment="1">
      <alignment horizont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right" vertical="center" wrapText="1"/>
    </xf>
    <xf numFmtId="0" fontId="20" fillId="0" borderId="26" xfId="0" applyFont="1" applyBorder="1" applyAlignment="1">
      <alignment horizontal="right" vertical="center" wrapText="1"/>
    </xf>
    <xf numFmtId="0" fontId="7" fillId="0" borderId="183" xfId="0" applyFont="1" applyBorder="1" applyAlignment="1">
      <alignment horizontal="center" vertical="center" wrapText="1"/>
    </xf>
    <xf numFmtId="0" fontId="7" fillId="0" borderId="184" xfId="0" applyFont="1" applyBorder="1" applyAlignment="1">
      <alignment horizontal="center" vertical="center" wrapText="1"/>
    </xf>
    <xf numFmtId="0" fontId="7" fillId="0" borderId="185" xfId="0" applyFont="1" applyBorder="1" applyAlignment="1">
      <alignment horizontal="center" vertical="center" wrapText="1"/>
    </xf>
    <xf numFmtId="0" fontId="7" fillId="0" borderId="186" xfId="0" applyFont="1" applyBorder="1" applyAlignment="1">
      <alignment horizontal="center" vertical="center" wrapText="1"/>
    </xf>
    <xf numFmtId="167" fontId="9" fillId="0" borderId="23" xfId="0" applyNumberFormat="1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0" fontId="42" fillId="0" borderId="0" xfId="0" applyFont="1" applyBorder="1" applyAlignment="1">
      <alignment horizontal="center"/>
    </xf>
    <xf numFmtId="0" fontId="42" fillId="0" borderId="0" xfId="0" applyFont="1" applyBorder="1" applyAlignment="1">
      <alignment horizontal="right" vertical="center"/>
    </xf>
    <xf numFmtId="0" fontId="7" fillId="0" borderId="192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" fontId="7" fillId="0" borderId="0" xfId="0" applyNumberFormat="1" applyFont="1" applyFill="1" applyBorder="1" applyAlignment="1" applyProtection="1">
      <alignment horizontal="left" vertical="center"/>
      <protection locked="0"/>
    </xf>
    <xf numFmtId="167" fontId="20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Border="1" applyAlignment="1">
      <alignment horizontal="left" vertical="center"/>
    </xf>
    <xf numFmtId="167" fontId="18" fillId="0" borderId="0" xfId="0" applyNumberFormat="1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41" fillId="0" borderId="4" xfId="2" applyFont="1" applyBorder="1" applyAlignment="1">
      <alignment horizontal="center" vertical="center" wrapText="1"/>
    </xf>
    <xf numFmtId="168" fontId="24" fillId="0" borderId="65" xfId="2" applyNumberFormat="1" applyFont="1" applyBorder="1" applyAlignment="1" applyProtection="1">
      <alignment horizontal="left" vertical="center"/>
    </xf>
    <xf numFmtId="0" fontId="46" fillId="0" borderId="67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168" fontId="24" fillId="0" borderId="52" xfId="2" applyNumberFormat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/>
    </xf>
    <xf numFmtId="168" fontId="24" fillId="0" borderId="60" xfId="2" applyNumberFormat="1" applyFont="1" applyBorder="1" applyAlignment="1" applyProtection="1">
      <alignment horizontal="left" vertical="center"/>
    </xf>
    <xf numFmtId="168" fontId="24" fillId="0" borderId="62" xfId="2" applyNumberFormat="1" applyFont="1" applyBorder="1" applyAlignment="1" applyProtection="1">
      <alignment horizontal="center" vertical="center"/>
    </xf>
    <xf numFmtId="0" fontId="24" fillId="0" borderId="63" xfId="0" applyFont="1" applyBorder="1" applyAlignment="1">
      <alignment horizontal="left" vertical="center"/>
    </xf>
    <xf numFmtId="0" fontId="55" fillId="0" borderId="0" xfId="0" applyFont="1" applyAlignment="1">
      <alignment vertical="center" wrapText="1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 wrapText="1"/>
    </xf>
    <xf numFmtId="0" fontId="42" fillId="0" borderId="4" xfId="0" applyFont="1" applyBorder="1" applyAlignment="1">
      <alignment horizontal="center" vertical="center" wrapText="1"/>
    </xf>
    <xf numFmtId="0" fontId="21" fillId="0" borderId="4" xfId="4" applyFont="1" applyBorder="1" applyAlignment="1">
      <alignment horizontal="center" vertical="center"/>
    </xf>
    <xf numFmtId="2" fontId="24" fillId="2" borderId="17" xfId="2" applyNumberFormat="1" applyFont="1" applyFill="1" applyBorder="1" applyAlignment="1" applyProtection="1">
      <alignment horizontal="center" vertical="center"/>
      <protection locked="0"/>
    </xf>
    <xf numFmtId="2" fontId="24" fillId="2" borderId="21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vertical="center" wrapText="1"/>
    </xf>
    <xf numFmtId="0" fontId="0" fillId="0" borderId="73" xfId="0" applyBorder="1"/>
    <xf numFmtId="0" fontId="8" fillId="0" borderId="74" xfId="0" applyFont="1" applyBorder="1" applyAlignment="1">
      <alignment horizontal="center" wrapText="1"/>
    </xf>
    <xf numFmtId="0" fontId="24" fillId="0" borderId="0" xfId="2" applyFont="1" applyBorder="1" applyAlignment="1">
      <alignment horizontal="right" vertical="center"/>
    </xf>
    <xf numFmtId="0" fontId="24" fillId="0" borderId="22" xfId="0" applyFont="1" applyBorder="1" applyAlignment="1">
      <alignment horizontal="center" vertical="center"/>
    </xf>
    <xf numFmtId="167" fontId="20" fillId="0" borderId="22" xfId="0" applyNumberFormat="1" applyFont="1" applyBorder="1" applyAlignment="1" applyProtection="1">
      <alignment horizontal="center" vertical="center" wrapText="1"/>
    </xf>
    <xf numFmtId="0" fontId="7" fillId="2" borderId="79" xfId="0" applyFont="1" applyFill="1" applyBorder="1" applyAlignment="1" applyProtection="1">
      <alignment horizontal="center" vertical="center"/>
      <protection locked="0"/>
    </xf>
    <xf numFmtId="168" fontId="24" fillId="2" borderId="17" xfId="2" applyNumberFormat="1" applyFont="1" applyFill="1" applyBorder="1" applyAlignment="1" applyProtection="1">
      <alignment horizontal="center" vertical="center"/>
      <protection locked="0"/>
    </xf>
    <xf numFmtId="168" fontId="24" fillId="2" borderId="21" xfId="2" applyNumberFormat="1" applyFont="1" applyFill="1" applyBorder="1" applyAlignment="1" applyProtection="1">
      <alignment horizontal="center" vertical="center"/>
      <protection locked="0"/>
    </xf>
    <xf numFmtId="0" fontId="21" fillId="0" borderId="4" xfId="4" applyFont="1" applyBorder="1" applyAlignment="1" applyProtection="1">
      <alignment horizontal="center" vertical="center"/>
    </xf>
    <xf numFmtId="168" fontId="8" fillId="0" borderId="4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167" fontId="24" fillId="0" borderId="22" xfId="4" applyNumberFormat="1" applyFont="1" applyBorder="1" applyAlignment="1" applyProtection="1">
      <alignment horizontal="center" vertical="center" wrapText="1"/>
    </xf>
    <xf numFmtId="0" fontId="24" fillId="0" borderId="22" xfId="4" applyFont="1" applyBorder="1" applyAlignment="1" applyProtection="1">
      <alignment horizontal="center" vertical="center" wrapText="1"/>
    </xf>
    <xf numFmtId="167" fontId="24" fillId="0" borderId="83" xfId="4" applyNumberFormat="1" applyFont="1" applyBorder="1" applyAlignment="1" applyProtection="1">
      <alignment horizontal="center" vertical="center" wrapText="1"/>
    </xf>
    <xf numFmtId="0" fontId="24" fillId="0" borderId="83" xfId="4" applyFont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24" fillId="0" borderId="83" xfId="4" applyFont="1" applyBorder="1" applyAlignment="1">
      <alignment horizontal="center" vertical="center" wrapText="1"/>
    </xf>
    <xf numFmtId="167" fontId="24" fillId="0" borderId="26" xfId="4" applyNumberFormat="1" applyFont="1" applyBorder="1" applyAlignment="1" applyProtection="1">
      <alignment horizontal="center" vertical="center" wrapText="1"/>
    </xf>
    <xf numFmtId="167" fontId="7" fillId="0" borderId="7" xfId="2" applyNumberFormat="1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 wrapText="1"/>
    </xf>
    <xf numFmtId="168" fontId="7" fillId="0" borderId="18" xfId="2" applyNumberFormat="1" applyFont="1" applyBorder="1" applyAlignment="1" applyProtection="1">
      <alignment horizontal="center" vertical="center" wrapText="1"/>
    </xf>
    <xf numFmtId="168" fontId="7" fillId="0" borderId="0" xfId="0" applyNumberFormat="1" applyFont="1" applyBorder="1" applyAlignment="1" applyProtection="1">
      <alignment horizontal="left" vertical="top" wrapText="1"/>
    </xf>
    <xf numFmtId="0" fontId="31" fillId="0" borderId="95" xfId="0" applyFont="1" applyBorder="1" applyAlignment="1">
      <alignment horizontal="center" vertical="center" wrapText="1"/>
    </xf>
    <xf numFmtId="167" fontId="7" fillId="0" borderId="98" xfId="0" applyNumberFormat="1" applyFont="1" applyBorder="1" applyAlignment="1" applyProtection="1">
      <alignment horizontal="center" vertical="center"/>
    </xf>
    <xf numFmtId="167" fontId="7" fillId="2" borderId="100" xfId="0" applyNumberFormat="1" applyFont="1" applyFill="1" applyBorder="1" applyAlignment="1" applyProtection="1">
      <alignment horizontal="center" vertical="center"/>
      <protection locked="0"/>
    </xf>
    <xf numFmtId="167" fontId="7" fillId="2" borderId="104" xfId="0" applyNumberFormat="1" applyFont="1" applyFill="1" applyBorder="1" applyAlignment="1" applyProtection="1">
      <alignment horizontal="center" vertical="center"/>
      <protection locked="0"/>
    </xf>
    <xf numFmtId="168" fontId="0" fillId="0" borderId="24" xfId="0" applyNumberFormat="1" applyFont="1" applyBorder="1" applyAlignment="1" applyProtection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" xfId="4" applyFont="1" applyBorder="1" applyAlignment="1">
      <alignment horizontal="center" wrapText="1"/>
    </xf>
    <xf numFmtId="0" fontId="37" fillId="0" borderId="19" xfId="0" applyFont="1" applyBorder="1" applyAlignment="1">
      <alignment horizontal="center"/>
    </xf>
    <xf numFmtId="0" fontId="37" fillId="0" borderId="25" xfId="0" applyFont="1" applyBorder="1" applyAlignment="1">
      <alignment horizontal="center"/>
    </xf>
    <xf numFmtId="0" fontId="6" fillId="0" borderId="90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168" fontId="0" fillId="0" borderId="124" xfId="0" applyNumberFormat="1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49" fontId="24" fillId="0" borderId="130" xfId="4" applyNumberFormat="1" applyFont="1" applyBorder="1" applyAlignment="1" applyProtection="1">
      <alignment horizontal="left" vertical="center"/>
      <protection locked="0"/>
    </xf>
    <xf numFmtId="49" fontId="24" fillId="0" borderId="131" xfId="4" applyNumberFormat="1" applyFont="1" applyBorder="1" applyAlignment="1" applyProtection="1">
      <alignment horizontal="center" vertical="center"/>
      <protection locked="0"/>
    </xf>
    <xf numFmtId="168" fontId="0" fillId="0" borderId="189" xfId="0" applyNumberFormat="1" applyFont="1" applyBorder="1" applyAlignment="1" applyProtection="1">
      <alignment horizontal="center" vertical="center"/>
    </xf>
    <xf numFmtId="168" fontId="0" fillId="0" borderId="23" xfId="0" applyNumberFormat="1" applyFont="1" applyBorder="1" applyAlignment="1" applyProtection="1">
      <alignment horizontal="center" vertical="center"/>
    </xf>
    <xf numFmtId="0" fontId="0" fillId="0" borderId="13" xfId="0" applyBorder="1"/>
    <xf numFmtId="0" fontId="0" fillId="0" borderId="51" xfId="0" applyBorder="1"/>
    <xf numFmtId="0" fontId="8" fillId="0" borderId="1" xfId="0" applyFont="1" applyBorder="1" applyAlignment="1">
      <alignment horizontal="left" vertical="center" wrapText="1"/>
    </xf>
    <xf numFmtId="0" fontId="58" fillId="0" borderId="3" xfId="0" applyFont="1" applyBorder="1" applyAlignment="1" applyProtection="1">
      <alignment vertical="center"/>
      <protection locked="0"/>
    </xf>
    <xf numFmtId="0" fontId="58" fillId="0" borderId="134" xfId="0" applyFont="1" applyBorder="1" applyAlignment="1" applyProtection="1">
      <alignment vertical="center"/>
      <protection locked="0"/>
    </xf>
    <xf numFmtId="0" fontId="58" fillId="0" borderId="12" xfId="0" applyFont="1" applyBorder="1" applyAlignment="1" applyProtection="1">
      <alignment vertical="center"/>
      <protection locked="0"/>
    </xf>
    <xf numFmtId="0" fontId="58" fillId="0" borderId="6" xfId="0" applyFont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25" fillId="0" borderId="0" xfId="0" applyFont="1" applyBorder="1"/>
    <xf numFmtId="0" fontId="58" fillId="0" borderId="3" xfId="0" applyFont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vertical="center" wrapText="1"/>
      <protection locked="0"/>
    </xf>
    <xf numFmtId="0" fontId="7" fillId="0" borderId="158" xfId="0" applyFont="1" applyBorder="1" applyAlignment="1">
      <alignment horizontal="left" vertical="center"/>
    </xf>
    <xf numFmtId="0" fontId="7" fillId="0" borderId="160" xfId="0" applyFont="1" applyBorder="1" applyAlignment="1">
      <alignment horizontal="left" vertical="center"/>
    </xf>
    <xf numFmtId="0" fontId="7" fillId="0" borderId="158" xfId="0" applyFont="1" applyBorder="1" applyAlignment="1">
      <alignment vertical="center"/>
    </xf>
    <xf numFmtId="0" fontId="7" fillId="0" borderId="160" xfId="0" applyFont="1" applyBorder="1" applyAlignment="1">
      <alignment vertical="center"/>
    </xf>
    <xf numFmtId="0" fontId="16" fillId="0" borderId="159" xfId="0" applyFont="1" applyBorder="1" applyAlignment="1" applyProtection="1">
      <alignment vertical="center"/>
    </xf>
    <xf numFmtId="0" fontId="16" fillId="0" borderId="157" xfId="0" applyFont="1" applyBorder="1" applyAlignment="1" applyProtection="1">
      <alignment vertical="center"/>
    </xf>
    <xf numFmtId="0" fontId="8" fillId="0" borderId="90" xfId="0" applyFont="1" applyBorder="1" applyAlignment="1">
      <alignment horizontal="center" vertical="center"/>
    </xf>
    <xf numFmtId="0" fontId="16" fillId="0" borderId="159" xfId="0" applyFont="1" applyBorder="1" applyAlignment="1">
      <alignment vertical="center"/>
    </xf>
    <xf numFmtId="0" fontId="16" fillId="0" borderId="157" xfId="0" applyFont="1" applyBorder="1" applyAlignment="1">
      <alignment vertical="center"/>
    </xf>
    <xf numFmtId="0" fontId="8" fillId="0" borderId="162" xfId="0" applyFont="1" applyBorder="1" applyAlignment="1">
      <alignment vertical="center"/>
    </xf>
    <xf numFmtId="0" fontId="8" fillId="7" borderId="175" xfId="0" applyFont="1" applyFill="1" applyBorder="1" applyAlignment="1" applyProtection="1">
      <alignment horizontal="center" vertical="center"/>
      <protection locked="0"/>
    </xf>
    <xf numFmtId="0" fontId="8" fillId="7" borderId="156" xfId="0" applyFont="1" applyFill="1" applyBorder="1" applyAlignment="1" applyProtection="1">
      <alignment horizontal="center" vertical="center"/>
      <protection locked="0"/>
    </xf>
    <xf numFmtId="0" fontId="8" fillId="7" borderId="171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/>
    </xf>
    <xf numFmtId="0" fontId="7" fillId="0" borderId="161" xfId="0" applyFont="1" applyBorder="1" applyAlignment="1">
      <alignment vertical="center"/>
    </xf>
    <xf numFmtId="0" fontId="7" fillId="0" borderId="162" xfId="0" applyFont="1" applyBorder="1" applyAlignment="1">
      <alignment vertical="center"/>
    </xf>
    <xf numFmtId="0" fontId="9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7" fillId="0" borderId="25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8" fillId="0" borderId="240" xfId="0" applyFont="1" applyBorder="1" applyAlignment="1">
      <alignment horizontal="right" vertical="center" textRotation="90"/>
    </xf>
    <xf numFmtId="0" fontId="8" fillId="0" borderId="241" xfId="0" applyFont="1" applyBorder="1" applyAlignment="1">
      <alignment horizontal="right" vertical="center" textRotation="90"/>
    </xf>
    <xf numFmtId="0" fontId="8" fillId="0" borderId="240" xfId="0" applyFont="1" applyBorder="1" applyAlignment="1">
      <alignment horizontal="right" vertical="center" textRotation="90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233" xfId="0" applyFont="1" applyBorder="1" applyAlignment="1">
      <alignment vertical="center"/>
    </xf>
    <xf numFmtId="0" fontId="7" fillId="0" borderId="229" xfId="0" applyFont="1" applyBorder="1" applyAlignment="1">
      <alignment vertical="center"/>
    </xf>
    <xf numFmtId="0" fontId="8" fillId="0" borderId="244" xfId="0" applyFont="1" applyBorder="1" applyAlignment="1">
      <alignment horizontal="center" vertical="center"/>
    </xf>
    <xf numFmtId="0" fontId="6" fillId="0" borderId="245" xfId="0" applyFont="1" applyBorder="1" applyAlignment="1">
      <alignment horizontal="center" vertical="center"/>
    </xf>
    <xf numFmtId="0" fontId="6" fillId="0" borderId="246" xfId="0" applyFont="1" applyBorder="1" applyAlignment="1">
      <alignment horizontal="center" vertical="center"/>
    </xf>
    <xf numFmtId="0" fontId="7" fillId="0" borderId="234" xfId="0" applyFont="1" applyBorder="1" applyAlignment="1">
      <alignment vertical="center"/>
    </xf>
    <xf numFmtId="0" fontId="7" fillId="0" borderId="235" xfId="0" applyFont="1" applyBorder="1" applyAlignment="1">
      <alignment vertical="center"/>
    </xf>
    <xf numFmtId="0" fontId="7" fillId="0" borderId="157" xfId="0" applyFont="1" applyFill="1" applyBorder="1" applyAlignment="1">
      <alignment vertical="center"/>
    </xf>
    <xf numFmtId="0" fontId="7" fillId="0" borderId="232" xfId="0" applyFont="1" applyFill="1" applyBorder="1" applyAlignment="1">
      <alignment vertical="center"/>
    </xf>
    <xf numFmtId="0" fontId="8" fillId="0" borderId="226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/>
    </xf>
    <xf numFmtId="0" fontId="7" fillId="0" borderId="239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61" xfId="0" applyFont="1" applyBorder="1" applyAlignment="1">
      <alignment horizontal="left" vertical="center"/>
    </xf>
    <xf numFmtId="0" fontId="7" fillId="0" borderId="162" xfId="0" applyFont="1" applyBorder="1" applyAlignment="1">
      <alignment horizontal="left" vertical="center"/>
    </xf>
    <xf numFmtId="0" fontId="7" fillId="0" borderId="157" xfId="0" applyFont="1" applyBorder="1" applyAlignment="1">
      <alignment vertical="center"/>
    </xf>
    <xf numFmtId="0" fontId="7" fillId="0" borderId="230" xfId="0" applyFont="1" applyBorder="1" applyAlignment="1">
      <alignment vertical="center"/>
    </xf>
    <xf numFmtId="0" fontId="7" fillId="0" borderId="231" xfId="0" applyFont="1" applyBorder="1" applyAlignment="1">
      <alignment vertical="center"/>
    </xf>
    <xf numFmtId="0" fontId="7" fillId="0" borderId="237" xfId="0" applyFont="1" applyFill="1" applyBorder="1" applyAlignment="1">
      <alignment vertical="center"/>
    </xf>
    <xf numFmtId="0" fontId="7" fillId="0" borderId="238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 textRotation="90" wrapText="1"/>
    </xf>
    <xf numFmtId="0" fontId="8" fillId="0" borderId="0" xfId="0" applyFont="1" applyBorder="1" applyAlignment="1">
      <alignment horizontal="right" vertical="center" textRotation="90"/>
    </xf>
    <xf numFmtId="0" fontId="7" fillId="0" borderId="249" xfId="0" applyFont="1" applyBorder="1" applyAlignment="1">
      <alignment vertical="center"/>
    </xf>
    <xf numFmtId="0" fontId="7" fillId="0" borderId="250" xfId="0" applyFont="1" applyBorder="1" applyAlignment="1">
      <alignment vertical="center"/>
    </xf>
    <xf numFmtId="0" fontId="7" fillId="0" borderId="259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 textRotation="90"/>
    </xf>
    <xf numFmtId="0" fontId="7" fillId="0" borderId="1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>
      <alignment horizontal="right" vertical="center" textRotation="90" wrapText="1"/>
    </xf>
    <xf numFmtId="0" fontId="16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3" fillId="0" borderId="0" xfId="0" applyFont="1" applyAlignment="1">
      <alignment horizontal="center" vertical="center"/>
    </xf>
    <xf numFmtId="0" fontId="37" fillId="0" borderId="220" xfId="0" applyFont="1" applyFill="1" applyBorder="1" applyAlignment="1">
      <alignment horizontal="center" vertical="center"/>
    </xf>
    <xf numFmtId="0" fontId="37" fillId="0" borderId="221" xfId="0" applyFont="1" applyFill="1" applyBorder="1" applyAlignment="1">
      <alignment horizontal="center" vertical="center"/>
    </xf>
    <xf numFmtId="0" fontId="37" fillId="0" borderId="222" xfId="0" applyFont="1" applyFill="1" applyBorder="1" applyAlignment="1">
      <alignment horizontal="center" vertical="center"/>
    </xf>
    <xf numFmtId="0" fontId="92" fillId="0" borderId="23" xfId="0" applyFont="1" applyFill="1" applyBorder="1" applyAlignment="1">
      <alignment horizontal="left" vertical="top" wrapText="1"/>
    </xf>
    <xf numFmtId="0" fontId="92" fillId="0" borderId="22" xfId="0" applyFont="1" applyFill="1" applyBorder="1" applyAlignment="1">
      <alignment horizontal="left" vertical="top" wrapText="1"/>
    </xf>
    <xf numFmtId="0" fontId="92" fillId="0" borderId="7" xfId="0" applyFont="1" applyFill="1" applyBorder="1" applyAlignment="1">
      <alignment horizontal="left" vertical="top" wrapText="1"/>
    </xf>
    <xf numFmtId="0" fontId="92" fillId="0" borderId="19" xfId="0" applyFont="1" applyFill="1" applyBorder="1" applyAlignment="1">
      <alignment horizontal="left" vertical="top" wrapText="1"/>
    </xf>
    <xf numFmtId="0" fontId="92" fillId="0" borderId="25" xfId="0" applyFont="1" applyFill="1" applyBorder="1" applyAlignment="1">
      <alignment horizontal="left" vertical="top" wrapText="1"/>
    </xf>
    <xf numFmtId="0" fontId="92" fillId="0" borderId="8" xfId="0" applyFont="1" applyFill="1" applyBorder="1" applyAlignment="1">
      <alignment horizontal="left" vertical="top" wrapText="1"/>
    </xf>
    <xf numFmtId="0" fontId="92" fillId="0" borderId="217" xfId="0" applyFont="1" applyFill="1" applyBorder="1" applyAlignment="1">
      <alignment horizontal="left" vertical="top" wrapText="1"/>
    </xf>
    <xf numFmtId="0" fontId="92" fillId="0" borderId="218" xfId="0" applyFont="1" applyFill="1" applyBorder="1" applyAlignment="1">
      <alignment horizontal="left" vertical="top" wrapText="1"/>
    </xf>
    <xf numFmtId="0" fontId="92" fillId="0" borderId="219" xfId="0" applyFont="1" applyFill="1" applyBorder="1" applyAlignment="1">
      <alignment horizontal="left" vertical="top" wrapText="1"/>
    </xf>
    <xf numFmtId="0" fontId="92" fillId="0" borderId="215" xfId="0" applyFont="1" applyFill="1" applyBorder="1" applyAlignment="1">
      <alignment horizontal="left" vertical="top" wrapText="1"/>
    </xf>
    <xf numFmtId="0" fontId="92" fillId="0" borderId="216" xfId="0" applyFont="1" applyFill="1" applyBorder="1" applyAlignment="1">
      <alignment horizontal="left" vertical="top" wrapText="1"/>
    </xf>
    <xf numFmtId="0" fontId="92" fillId="0" borderId="223" xfId="0" applyFont="1" applyFill="1" applyBorder="1" applyAlignment="1">
      <alignment horizontal="left" vertical="top" wrapText="1"/>
    </xf>
    <xf numFmtId="0" fontId="83" fillId="0" borderId="23" xfId="0" applyFont="1" applyFill="1" applyBorder="1" applyAlignment="1">
      <alignment horizontal="center" vertical="center" wrapText="1"/>
    </xf>
    <xf numFmtId="0" fontId="83" fillId="0" borderId="22" xfId="0" applyFont="1" applyFill="1" applyBorder="1" applyAlignment="1">
      <alignment horizontal="center" vertical="center" wrapText="1"/>
    </xf>
    <xf numFmtId="0" fontId="83" fillId="0" borderId="3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41" xfId="5" applyFont="1" applyBorder="1" applyAlignment="1">
      <alignment horizontal="center" vertical="center"/>
    </xf>
    <xf numFmtId="0" fontId="4" fillId="0" borderId="142" xfId="5" applyFont="1" applyBorder="1" applyAlignment="1">
      <alignment horizontal="center" vertical="center"/>
    </xf>
    <xf numFmtId="0" fontId="16" fillId="0" borderId="144" xfId="5" applyNumberFormat="1" applyFont="1" applyBorder="1" applyAlignment="1">
      <alignment horizontal="left" vertical="center"/>
    </xf>
    <xf numFmtId="0" fontId="16" fillId="0" borderId="145" xfId="5" applyNumberFormat="1" applyFont="1" applyBorder="1" applyAlignment="1">
      <alignment horizontal="left" vertical="center"/>
    </xf>
    <xf numFmtId="0" fontId="24" fillId="0" borderId="4" xfId="5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 wrapText="1"/>
    </xf>
    <xf numFmtId="0" fontId="4" fillId="0" borderId="141" xfId="5" applyFont="1" applyFill="1" applyBorder="1" applyAlignment="1">
      <alignment horizontal="center" vertical="center"/>
    </xf>
    <xf numFmtId="0" fontId="4" fillId="0" borderId="142" xfId="5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103" fillId="0" borderId="0" xfId="12" applyFont="1" applyFill="1" applyBorder="1" applyAlignment="1" applyProtection="1">
      <alignment horizontal="left" vertical="center"/>
      <protection locked="0"/>
    </xf>
    <xf numFmtId="14" fontId="103" fillId="0" borderId="13" xfId="12" applyNumberFormat="1" applyFont="1" applyFill="1" applyBorder="1" applyAlignment="1" applyProtection="1">
      <alignment horizontal="center"/>
      <protection locked="0"/>
    </xf>
    <xf numFmtId="14" fontId="103" fillId="0" borderId="28" xfId="12" applyNumberFormat="1" applyFont="1" applyFill="1" applyBorder="1" applyAlignment="1" applyProtection="1">
      <alignment horizontal="center"/>
      <protection locked="0"/>
    </xf>
    <xf numFmtId="0" fontId="7" fillId="9" borderId="0" xfId="12" applyFont="1" applyFill="1" applyAlignment="1">
      <alignment horizontal="right"/>
    </xf>
    <xf numFmtId="0" fontId="7" fillId="9" borderId="0" xfId="12" applyFont="1" applyFill="1" applyBorder="1" applyAlignment="1">
      <alignment horizontal="right"/>
    </xf>
  </cellXfs>
  <cellStyles count="24">
    <cellStyle name="Comma 2" xfId="6"/>
    <cellStyle name="Currency 2" xfId="7"/>
    <cellStyle name="Currency 2 2" xfId="8"/>
    <cellStyle name="Currency 2 2 2" xfId="9"/>
    <cellStyle name="Currency 2 3" xfId="10"/>
    <cellStyle name="Currency 2 3 2" xfId="3"/>
    <cellStyle name="Currency 3" xfId="11"/>
    <cellStyle name="Normal" xfId="0" builtinId="0"/>
    <cellStyle name="Normal 2" xfId="12"/>
    <cellStyle name="Normal 2 2" xfId="13"/>
    <cellStyle name="Normal 2 2 2" xfId="14"/>
    <cellStyle name="Normal 2 2 2 2" xfId="15"/>
    <cellStyle name="Normal 2 2 2 2 2" xfId="16"/>
    <cellStyle name="Normal 2 2 2 2 2 2" xfId="2"/>
    <cellStyle name="Normal 3" xfId="17"/>
    <cellStyle name="Normal 3 2" xfId="18"/>
    <cellStyle name="Normal 3 2 2" xfId="4"/>
    <cellStyle name="Normal 4" xfId="19"/>
    <cellStyle name="Normal 5" xfId="20"/>
    <cellStyle name="Normal 5 2" xfId="23"/>
    <cellStyle name="Normal 6" xfId="21"/>
    <cellStyle name="Normal 7" xfId="1"/>
    <cellStyle name="Normal 7 2" xfId="22"/>
    <cellStyle name="Normal 8" xfId="5"/>
  </cellStyles>
  <dxfs count="9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  <name val="Arial"/>
      </font>
    </dxf>
    <dxf>
      <font>
        <b/>
        <i val="0"/>
        <color rgb="FFC00000"/>
      </font>
    </dxf>
    <dxf>
      <font>
        <color rgb="FFC00000"/>
        <name val="Arial"/>
      </font>
    </dxf>
    <dxf>
      <font>
        <color rgb="FFC00000"/>
        <name val="Arial"/>
      </font>
    </dxf>
    <dxf>
      <font>
        <color rgb="FFC00000"/>
        <name val="Arial"/>
      </font>
    </dxf>
    <dxf>
      <font>
        <b/>
        <i val="0"/>
        <color rgb="FFC00000"/>
        <name val="Arial"/>
      </font>
    </dxf>
  </dxfs>
  <tableStyles count="0" defaultTableStyle="TableStyleMedium2" defaultPivotStyle="PivotStyleLight16"/>
  <colors>
    <mruColors>
      <color rgb="FF0558FF"/>
      <color rgb="FF003399"/>
      <color rgb="FFFC8E91"/>
      <color rgb="FFFB575B"/>
      <color rgb="FFC3FDB9"/>
      <color rgb="FFFFFF00"/>
      <color rgb="FF0000FF"/>
      <color rgb="FF000066"/>
      <color rgb="FF3333FF"/>
      <color rgb="FF004F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YEAST vs BRIX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085739282589675E-2"/>
          <c:y val="0.12467424905220181"/>
          <c:w val="0.80352405949256345"/>
          <c:h val="0.7270245385993418"/>
        </c:manualLayout>
      </c:layout>
      <c:scatterChart>
        <c:scatterStyle val="lineMarker"/>
        <c:varyColors val="0"/>
        <c:ser>
          <c:idx val="0"/>
          <c:order val="0"/>
          <c:tx>
            <c:v>BRIX ° YEAST g/L</c:v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forward val="5"/>
            <c:backward val="3"/>
            <c:dispRSqr val="1"/>
            <c:dispEq val="1"/>
            <c:trendlineLbl>
              <c:layout>
                <c:manualLayout>
                  <c:x val="0.16929882683972861"/>
                  <c:y val="-0.24491355101591322"/>
                </c:manualLayout>
              </c:layout>
              <c:numFmt formatCode="General" sourceLinked="0"/>
            </c:trendlineLbl>
          </c:trendline>
          <c:xVal>
            <c:numLit>
              <c:formatCode>General</c:formatCode>
              <c:ptCount val="4"/>
              <c:pt idx="0">
                <c:v>22</c:v>
              </c:pt>
              <c:pt idx="1">
                <c:v>23</c:v>
              </c:pt>
              <c:pt idx="2">
                <c:v>24</c:v>
              </c:pt>
              <c:pt idx="3">
                <c:v>25</c:v>
              </c:pt>
            </c:numLit>
          </c:xVal>
          <c:yVal>
            <c:numLit>
              <c:formatCode>General</c:formatCode>
              <c:ptCount val="4"/>
              <c:pt idx="0">
                <c:v>0.25</c:v>
              </c:pt>
              <c:pt idx="1">
                <c:v>0.26500000000000001</c:v>
              </c:pt>
              <c:pt idx="2">
                <c:v>0.28000000000000003</c:v>
              </c:pt>
              <c:pt idx="3">
                <c:v>0.3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359104"/>
        <c:axId val="239361024"/>
      </c:scatterChart>
      <c:valAx>
        <c:axId val="239359104"/>
        <c:scaling>
          <c:orientation val="minMax"/>
          <c:max val="31.5"/>
          <c:min val="18"/>
        </c:scaling>
        <c:delete val="0"/>
        <c:axPos val="b"/>
        <c:majorGridlines>
          <c:spPr>
            <a:ln>
              <a:solidFill>
                <a:schemeClr val="accent1"/>
              </a:solidFill>
            </a:ln>
          </c:spPr>
        </c:majorGridlines>
        <c:min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Brix °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crossAx val="239361024"/>
        <c:crosses val="autoZero"/>
        <c:crossBetween val="midCat"/>
        <c:majorUnit val="1"/>
        <c:minorUnit val="0.5"/>
      </c:valAx>
      <c:valAx>
        <c:axId val="239361024"/>
        <c:scaling>
          <c:orientation val="minMax"/>
          <c:max val="0.45"/>
          <c:min val="0.2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min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Yeast g/L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9359104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YAN vs Brix </a:t>
            </a:r>
          </a:p>
          <a:p>
            <a:pPr>
              <a:defRPr/>
            </a:pPr>
            <a:r>
              <a:rPr lang="en-US" sz="1200"/>
              <a:t>Scott Laboratories
2020 Fermentation Handbook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8610041648077"/>
          <c:y val="0.21840788665309549"/>
          <c:w val="0.82946693923220549"/>
          <c:h val="0.62224786972755031"/>
        </c:manualLayout>
      </c:layout>
      <c:scatterChart>
        <c:scatterStyle val="smoothMarker"/>
        <c:varyColors val="0"/>
        <c:ser>
          <c:idx val="1"/>
          <c:order val="1"/>
          <c:xVal>
            <c:numRef>
              <c:f>#REF!</c:f>
            </c:numRef>
          </c:xVal>
          <c:yVal>
            <c:numRef>
              <c:f>#REF!</c:f>
            </c:numRef>
          </c:yVal>
          <c:smooth val="1"/>
        </c:ser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forward val="4"/>
            <c:dispRSqr val="1"/>
            <c:dispEq val="1"/>
            <c:trendlineLbl>
              <c:layout>
                <c:manualLayout>
                  <c:x val="-4.0477938372690585E-2"/>
                  <c:y val="-0.25039389845994642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0"/>
            <c:dispEq val="0"/>
          </c:trendline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0"/>
            <c:dispEq val="0"/>
          </c:trendline>
          <c:xVal>
            <c:numLit>
              <c:formatCode>General</c:formatCode>
              <c:ptCount val="4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</c:numLit>
          </c:xVal>
          <c:yVal>
            <c:numLit>
              <c:formatCode>General</c:formatCode>
              <c:ptCount val="4"/>
              <c:pt idx="0">
                <c:v>150</c:v>
              </c:pt>
              <c:pt idx="1">
                <c:v>165</c:v>
              </c:pt>
              <c:pt idx="2">
                <c:v>180</c:v>
              </c:pt>
              <c:pt idx="3">
                <c:v>195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200320"/>
        <c:axId val="240210688"/>
      </c:scatterChart>
      <c:valAx>
        <c:axId val="240200320"/>
        <c:scaling>
          <c:orientation val="minMax"/>
          <c:max val="30"/>
          <c:min val="2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° Brix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0210688"/>
        <c:crosses val="autoZero"/>
        <c:crossBetween val="midCat"/>
        <c:majorUnit val="1"/>
      </c:valAx>
      <c:valAx>
        <c:axId val="240210688"/>
        <c:scaling>
          <c:orientation val="minMax"/>
          <c:min val="15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YAN Level mgN/L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0200320"/>
        <c:crosses val="autoZero"/>
        <c:crossBetween val="midCat"/>
        <c:majorUnit val="25"/>
      </c:val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S.G. and </a:t>
            </a:r>
            <a:r>
              <a:rPr lang="en-CA" baseline="0"/>
              <a:t>C°</a:t>
            </a:r>
            <a:r>
              <a:rPr lang="en-CA"/>
              <a:t> 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016400406596577E-2"/>
          <c:y val="7.5314764873518278E-2"/>
          <c:w val="0.81188961206438792"/>
          <c:h val="0.74450522087105975"/>
        </c:manualLayout>
      </c:layout>
      <c:scatterChart>
        <c:scatterStyle val="smoothMarker"/>
        <c:varyColors val="0"/>
        <c:ser>
          <c:idx val="2"/>
          <c:order val="2"/>
          <c:tx>
            <c:strRef>
              <c:f>'Ferment Graph'!$H$13</c:f>
              <c:strCache>
                <c:ptCount val="1"/>
                <c:pt idx="0">
                  <c:v>Daily minimum SG decrease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'Ferment Graph'!$D$15:$D$56</c:f>
              <c:numCache>
                <c:formatCode>0.00</c:formatCode>
                <c:ptCount val="42"/>
                <c:pt idx="0">
                  <c:v>18</c:v>
                </c:pt>
                <c:pt idx="1">
                  <c:v>48</c:v>
                </c:pt>
                <c:pt idx="2">
                  <c:v>79</c:v>
                </c:pt>
                <c:pt idx="3">
                  <c:v>100</c:v>
                </c:pt>
                <c:pt idx="4">
                  <c:v>121</c:v>
                </c:pt>
                <c:pt idx="5">
                  <c:v>138</c:v>
                </c:pt>
                <c:pt idx="6">
                  <c:v>163</c:v>
                </c:pt>
                <c:pt idx="7">
                  <c:v>186</c:v>
                </c:pt>
                <c:pt idx="8">
                  <c:v>209</c:v>
                </c:pt>
                <c:pt idx="9">
                  <c:v>236</c:v>
                </c:pt>
                <c:pt idx="10">
                  <c:v>258</c:v>
                </c:pt>
                <c:pt idx="11">
                  <c:v>284</c:v>
                </c:pt>
                <c:pt idx="12">
                  <c:v>311</c:v>
                </c:pt>
                <c:pt idx="13">
                  <c:v>335</c:v>
                </c:pt>
                <c:pt idx="14">
                  <c:v>335</c:v>
                </c:pt>
                <c:pt idx="15">
                  <c:v>335</c:v>
                </c:pt>
                <c:pt idx="16">
                  <c:v>335</c:v>
                </c:pt>
                <c:pt idx="17">
                  <c:v>335</c:v>
                </c:pt>
                <c:pt idx="18">
                  <c:v>335</c:v>
                </c:pt>
                <c:pt idx="19">
                  <c:v>335</c:v>
                </c:pt>
                <c:pt idx="20">
                  <c:v>335</c:v>
                </c:pt>
                <c:pt idx="21">
                  <c:v>335</c:v>
                </c:pt>
                <c:pt idx="22">
                  <c:v>335</c:v>
                </c:pt>
                <c:pt idx="23">
                  <c:v>335</c:v>
                </c:pt>
                <c:pt idx="24">
                  <c:v>335</c:v>
                </c:pt>
                <c:pt idx="25">
                  <c:v>335</c:v>
                </c:pt>
                <c:pt idx="26">
                  <c:v>335</c:v>
                </c:pt>
                <c:pt idx="27">
                  <c:v>335</c:v>
                </c:pt>
                <c:pt idx="28">
                  <c:v>335</c:v>
                </c:pt>
                <c:pt idx="29">
                  <c:v>335</c:v>
                </c:pt>
                <c:pt idx="30">
                  <c:v>335</c:v>
                </c:pt>
                <c:pt idx="31">
                  <c:v>335</c:v>
                </c:pt>
                <c:pt idx="32">
                  <c:v>335</c:v>
                </c:pt>
                <c:pt idx="33">
                  <c:v>335</c:v>
                </c:pt>
                <c:pt idx="34">
                  <c:v>335</c:v>
                </c:pt>
                <c:pt idx="35">
                  <c:v>335</c:v>
                </c:pt>
                <c:pt idx="36">
                  <c:v>335</c:v>
                </c:pt>
                <c:pt idx="37">
                  <c:v>335</c:v>
                </c:pt>
                <c:pt idx="38">
                  <c:v>335</c:v>
                </c:pt>
                <c:pt idx="39">
                  <c:v>335</c:v>
                </c:pt>
                <c:pt idx="40">
                  <c:v>335</c:v>
                </c:pt>
                <c:pt idx="41">
                  <c:v>335</c:v>
                </c:pt>
              </c:numCache>
            </c:numRef>
          </c:xVal>
          <c:yVal>
            <c:numRef>
              <c:f>'Ferment Graph'!$H$15:$H$56</c:f>
              <c:numCache>
                <c:formatCode>;;;</c:formatCode>
                <c:ptCount val="42"/>
                <c:pt idx="0">
                  <c:v>1.095</c:v>
                </c:pt>
                <c:pt idx="1">
                  <c:v>1.085</c:v>
                </c:pt>
                <c:pt idx="2">
                  <c:v>1.0746666666666667</c:v>
                </c:pt>
                <c:pt idx="3">
                  <c:v>1.0676666666666665</c:v>
                </c:pt>
                <c:pt idx="4">
                  <c:v>1.0606666666666666</c:v>
                </c:pt>
                <c:pt idx="5">
                  <c:v>1.0549999999999999</c:v>
                </c:pt>
                <c:pt idx="6">
                  <c:v>1.0466666666666666</c:v>
                </c:pt>
                <c:pt idx="7">
                  <c:v>1.0389999999999999</c:v>
                </c:pt>
                <c:pt idx="8">
                  <c:v>1.0313333333333332</c:v>
                </c:pt>
                <c:pt idx="9">
                  <c:v>1.0223333333333333</c:v>
                </c:pt>
                <c:pt idx="10">
                  <c:v>1.0149999999999999</c:v>
                </c:pt>
                <c:pt idx="11">
                  <c:v>1.0063333333333333</c:v>
                </c:pt>
                <c:pt idx="12">
                  <c:v>0.99733333333333329</c:v>
                </c:pt>
                <c:pt idx="13">
                  <c:v>0.98933333333333329</c:v>
                </c:pt>
                <c:pt idx="14">
                  <c:v>0.98933333333333329</c:v>
                </c:pt>
                <c:pt idx="15">
                  <c:v>0.98933333333333329</c:v>
                </c:pt>
                <c:pt idx="16">
                  <c:v>0.98933333333333329</c:v>
                </c:pt>
                <c:pt idx="17">
                  <c:v>0.98933333333333329</c:v>
                </c:pt>
                <c:pt idx="18">
                  <c:v>0.98933333333333329</c:v>
                </c:pt>
                <c:pt idx="19">
                  <c:v>0.98933333333333329</c:v>
                </c:pt>
                <c:pt idx="20">
                  <c:v>0.98933333333333329</c:v>
                </c:pt>
                <c:pt idx="21">
                  <c:v>0.98933333333333329</c:v>
                </c:pt>
                <c:pt idx="22">
                  <c:v>0.98933333333333329</c:v>
                </c:pt>
                <c:pt idx="23">
                  <c:v>0.98933333333333329</c:v>
                </c:pt>
                <c:pt idx="24">
                  <c:v>0.98933333333333329</c:v>
                </c:pt>
                <c:pt idx="25">
                  <c:v>0.98933333333333329</c:v>
                </c:pt>
                <c:pt idx="26">
                  <c:v>0.98933333333333329</c:v>
                </c:pt>
                <c:pt idx="27">
                  <c:v>0.98933333333333329</c:v>
                </c:pt>
                <c:pt idx="28">
                  <c:v>0.98933333333333329</c:v>
                </c:pt>
                <c:pt idx="29">
                  <c:v>0.98933333333333329</c:v>
                </c:pt>
                <c:pt idx="30">
                  <c:v>0.98933333333333329</c:v>
                </c:pt>
                <c:pt idx="31">
                  <c:v>0.98933333333333329</c:v>
                </c:pt>
                <c:pt idx="32">
                  <c:v>0.98933333333333329</c:v>
                </c:pt>
                <c:pt idx="33">
                  <c:v>0.98933333333333329</c:v>
                </c:pt>
                <c:pt idx="34">
                  <c:v>0.98933333333333329</c:v>
                </c:pt>
                <c:pt idx="35">
                  <c:v>0.98933333333333329</c:v>
                </c:pt>
                <c:pt idx="36">
                  <c:v>0.98933333333333329</c:v>
                </c:pt>
                <c:pt idx="37">
                  <c:v>0.98933333333333329</c:v>
                </c:pt>
                <c:pt idx="38">
                  <c:v>0.98933333333333329</c:v>
                </c:pt>
                <c:pt idx="39">
                  <c:v>0.98933333333333329</c:v>
                </c:pt>
                <c:pt idx="40">
                  <c:v>0.98933333333333329</c:v>
                </c:pt>
                <c:pt idx="41">
                  <c:v>0.98933333333333329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567616"/>
        <c:axId val="239569536"/>
      </c:scatterChart>
      <c:scatterChart>
        <c:scatterStyle val="lineMarker"/>
        <c:varyColors val="0"/>
        <c:ser>
          <c:idx val="0"/>
          <c:order val="0"/>
          <c:tx>
            <c:strRef>
              <c:f>'Ferment Graph'!$E$13</c:f>
              <c:strCache>
                <c:ptCount val="1"/>
                <c:pt idx="0">
                  <c:v>Temperature (ºC)</c:v>
                </c:pt>
              </c:strCache>
            </c:strRef>
          </c:tx>
          <c:marker>
            <c:symbol val="diamond"/>
            <c:size val="7"/>
          </c:marker>
          <c:xVal>
            <c:numRef>
              <c:f>'Ferment Graph'!$D$14:$D$56</c:f>
              <c:numCache>
                <c:formatCode>0.00</c:formatCode>
                <c:ptCount val="43"/>
                <c:pt idx="0">
                  <c:v>0</c:v>
                </c:pt>
                <c:pt idx="1">
                  <c:v>18</c:v>
                </c:pt>
                <c:pt idx="2">
                  <c:v>48</c:v>
                </c:pt>
                <c:pt idx="3">
                  <c:v>79</c:v>
                </c:pt>
                <c:pt idx="4">
                  <c:v>100</c:v>
                </c:pt>
                <c:pt idx="5">
                  <c:v>121</c:v>
                </c:pt>
                <c:pt idx="6">
                  <c:v>138</c:v>
                </c:pt>
                <c:pt idx="7">
                  <c:v>163</c:v>
                </c:pt>
                <c:pt idx="8">
                  <c:v>186</c:v>
                </c:pt>
                <c:pt idx="9">
                  <c:v>209</c:v>
                </c:pt>
                <c:pt idx="10">
                  <c:v>236</c:v>
                </c:pt>
                <c:pt idx="11">
                  <c:v>258</c:v>
                </c:pt>
                <c:pt idx="12">
                  <c:v>284</c:v>
                </c:pt>
                <c:pt idx="13">
                  <c:v>311</c:v>
                </c:pt>
                <c:pt idx="14">
                  <c:v>335</c:v>
                </c:pt>
                <c:pt idx="15">
                  <c:v>335</c:v>
                </c:pt>
                <c:pt idx="16">
                  <c:v>335</c:v>
                </c:pt>
                <c:pt idx="17">
                  <c:v>335</c:v>
                </c:pt>
                <c:pt idx="18">
                  <c:v>335</c:v>
                </c:pt>
                <c:pt idx="19">
                  <c:v>335</c:v>
                </c:pt>
                <c:pt idx="20">
                  <c:v>335</c:v>
                </c:pt>
                <c:pt idx="21">
                  <c:v>335</c:v>
                </c:pt>
                <c:pt idx="22">
                  <c:v>335</c:v>
                </c:pt>
                <c:pt idx="23">
                  <c:v>335</c:v>
                </c:pt>
                <c:pt idx="24">
                  <c:v>335</c:v>
                </c:pt>
                <c:pt idx="25">
                  <c:v>335</c:v>
                </c:pt>
                <c:pt idx="26">
                  <c:v>335</c:v>
                </c:pt>
                <c:pt idx="27">
                  <c:v>335</c:v>
                </c:pt>
                <c:pt idx="28">
                  <c:v>335</c:v>
                </c:pt>
                <c:pt idx="29">
                  <c:v>335</c:v>
                </c:pt>
                <c:pt idx="30">
                  <c:v>335</c:v>
                </c:pt>
                <c:pt idx="31">
                  <c:v>335</c:v>
                </c:pt>
                <c:pt idx="32">
                  <c:v>335</c:v>
                </c:pt>
                <c:pt idx="33">
                  <c:v>335</c:v>
                </c:pt>
                <c:pt idx="34">
                  <c:v>335</c:v>
                </c:pt>
                <c:pt idx="35">
                  <c:v>335</c:v>
                </c:pt>
                <c:pt idx="36">
                  <c:v>335</c:v>
                </c:pt>
                <c:pt idx="37">
                  <c:v>335</c:v>
                </c:pt>
                <c:pt idx="38">
                  <c:v>335</c:v>
                </c:pt>
                <c:pt idx="39">
                  <c:v>335</c:v>
                </c:pt>
                <c:pt idx="40">
                  <c:v>335</c:v>
                </c:pt>
                <c:pt idx="41">
                  <c:v>335</c:v>
                </c:pt>
                <c:pt idx="42">
                  <c:v>335</c:v>
                </c:pt>
              </c:numCache>
            </c:numRef>
          </c:xVal>
          <c:yVal>
            <c:numRef>
              <c:f>'Ferment Graph'!$E$14:$E$56</c:f>
              <c:numCache>
                <c:formatCode>General</c:formatCode>
                <c:ptCount val="43"/>
                <c:pt idx="0">
                  <c:v>10</c:v>
                </c:pt>
                <c:pt idx="1">
                  <c:v>15</c:v>
                </c:pt>
                <c:pt idx="2">
                  <c:v>18</c:v>
                </c:pt>
                <c:pt idx="3">
                  <c:v>20.5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24.5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575808"/>
        <c:axId val="239577344"/>
      </c:scatterChart>
      <c:scatterChart>
        <c:scatterStyle val="lineMarker"/>
        <c:varyColors val="0"/>
        <c:ser>
          <c:idx val="1"/>
          <c:order val="1"/>
          <c:tx>
            <c:strRef>
              <c:f>'Ferment Graph'!$F$13</c:f>
              <c:strCache>
                <c:ptCount val="1"/>
                <c:pt idx="0">
                  <c:v>SG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</c:spPr>
          </c:marker>
          <c:xVal>
            <c:numRef>
              <c:f>'Ferment Graph'!$D$14:$D$56</c:f>
              <c:numCache>
                <c:formatCode>0.00</c:formatCode>
                <c:ptCount val="43"/>
                <c:pt idx="0">
                  <c:v>0</c:v>
                </c:pt>
                <c:pt idx="1">
                  <c:v>18</c:v>
                </c:pt>
                <c:pt idx="2">
                  <c:v>48</c:v>
                </c:pt>
                <c:pt idx="3">
                  <c:v>79</c:v>
                </c:pt>
                <c:pt idx="4">
                  <c:v>100</c:v>
                </c:pt>
                <c:pt idx="5">
                  <c:v>121</c:v>
                </c:pt>
                <c:pt idx="6">
                  <c:v>138</c:v>
                </c:pt>
                <c:pt idx="7">
                  <c:v>163</c:v>
                </c:pt>
                <c:pt idx="8">
                  <c:v>186</c:v>
                </c:pt>
                <c:pt idx="9">
                  <c:v>209</c:v>
                </c:pt>
                <c:pt idx="10">
                  <c:v>236</c:v>
                </c:pt>
                <c:pt idx="11">
                  <c:v>258</c:v>
                </c:pt>
                <c:pt idx="12">
                  <c:v>284</c:v>
                </c:pt>
                <c:pt idx="13">
                  <c:v>311</c:v>
                </c:pt>
                <c:pt idx="14">
                  <c:v>335</c:v>
                </c:pt>
                <c:pt idx="15">
                  <c:v>335</c:v>
                </c:pt>
                <c:pt idx="16">
                  <c:v>335</c:v>
                </c:pt>
                <c:pt idx="17">
                  <c:v>335</c:v>
                </c:pt>
                <c:pt idx="18">
                  <c:v>335</c:v>
                </c:pt>
                <c:pt idx="19">
                  <c:v>335</c:v>
                </c:pt>
                <c:pt idx="20">
                  <c:v>335</c:v>
                </c:pt>
                <c:pt idx="21">
                  <c:v>335</c:v>
                </c:pt>
                <c:pt idx="22">
                  <c:v>335</c:v>
                </c:pt>
                <c:pt idx="23">
                  <c:v>335</c:v>
                </c:pt>
                <c:pt idx="24">
                  <c:v>335</c:v>
                </c:pt>
                <c:pt idx="25">
                  <c:v>335</c:v>
                </c:pt>
                <c:pt idx="26">
                  <c:v>335</c:v>
                </c:pt>
                <c:pt idx="27">
                  <c:v>335</c:v>
                </c:pt>
                <c:pt idx="28">
                  <c:v>335</c:v>
                </c:pt>
                <c:pt idx="29">
                  <c:v>335</c:v>
                </c:pt>
                <c:pt idx="30">
                  <c:v>335</c:v>
                </c:pt>
                <c:pt idx="31">
                  <c:v>335</c:v>
                </c:pt>
                <c:pt idx="32">
                  <c:v>335</c:v>
                </c:pt>
                <c:pt idx="33">
                  <c:v>335</c:v>
                </c:pt>
                <c:pt idx="34">
                  <c:v>335</c:v>
                </c:pt>
                <c:pt idx="35">
                  <c:v>335</c:v>
                </c:pt>
                <c:pt idx="36">
                  <c:v>335</c:v>
                </c:pt>
                <c:pt idx="37">
                  <c:v>335</c:v>
                </c:pt>
                <c:pt idx="38">
                  <c:v>335</c:v>
                </c:pt>
                <c:pt idx="39">
                  <c:v>335</c:v>
                </c:pt>
                <c:pt idx="40">
                  <c:v>335</c:v>
                </c:pt>
                <c:pt idx="41">
                  <c:v>335</c:v>
                </c:pt>
                <c:pt idx="42">
                  <c:v>335</c:v>
                </c:pt>
              </c:numCache>
            </c:numRef>
          </c:xVal>
          <c:yVal>
            <c:numRef>
              <c:f>'Ferment Graph'!$F$14:$F$56</c:f>
              <c:numCache>
                <c:formatCode>0.000</c:formatCode>
                <c:ptCount val="43"/>
                <c:pt idx="0">
                  <c:v>1.101</c:v>
                </c:pt>
                <c:pt idx="1">
                  <c:v>1.0980000000000001</c:v>
                </c:pt>
                <c:pt idx="2">
                  <c:v>1.08</c:v>
                </c:pt>
                <c:pt idx="3">
                  <c:v>1.0649999999999999</c:v>
                </c:pt>
                <c:pt idx="4">
                  <c:v>1.05</c:v>
                </c:pt>
                <c:pt idx="5">
                  <c:v>1.0349999999999999</c:v>
                </c:pt>
                <c:pt idx="6">
                  <c:v>1.0249999999999999</c:v>
                </c:pt>
                <c:pt idx="7">
                  <c:v>1.0149999999999999</c:v>
                </c:pt>
                <c:pt idx="8">
                  <c:v>1.008</c:v>
                </c:pt>
                <c:pt idx="9">
                  <c:v>1</c:v>
                </c:pt>
                <c:pt idx="10">
                  <c:v>0.997</c:v>
                </c:pt>
                <c:pt idx="11">
                  <c:v>0.995</c:v>
                </c:pt>
                <c:pt idx="12">
                  <c:v>0.99299999999999999</c:v>
                </c:pt>
                <c:pt idx="13">
                  <c:v>0.99099999999999999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'Ferment Graph'!$I$13</c:f>
              <c:strCache>
                <c:ptCount val="1"/>
                <c:pt idx="0">
                  <c:v>Daily maximum SG decrease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'Ferment Graph'!$D$15:$D$56</c:f>
              <c:numCache>
                <c:formatCode>0.00</c:formatCode>
                <c:ptCount val="42"/>
                <c:pt idx="0">
                  <c:v>18</c:v>
                </c:pt>
                <c:pt idx="1">
                  <c:v>48</c:v>
                </c:pt>
                <c:pt idx="2">
                  <c:v>79</c:v>
                </c:pt>
                <c:pt idx="3">
                  <c:v>100</c:v>
                </c:pt>
                <c:pt idx="4">
                  <c:v>121</c:v>
                </c:pt>
                <c:pt idx="5">
                  <c:v>138</c:v>
                </c:pt>
                <c:pt idx="6">
                  <c:v>163</c:v>
                </c:pt>
                <c:pt idx="7">
                  <c:v>186</c:v>
                </c:pt>
                <c:pt idx="8">
                  <c:v>209</c:v>
                </c:pt>
                <c:pt idx="9">
                  <c:v>236</c:v>
                </c:pt>
                <c:pt idx="10">
                  <c:v>258</c:v>
                </c:pt>
                <c:pt idx="11">
                  <c:v>284</c:v>
                </c:pt>
                <c:pt idx="12">
                  <c:v>311</c:v>
                </c:pt>
                <c:pt idx="13">
                  <c:v>335</c:v>
                </c:pt>
                <c:pt idx="14">
                  <c:v>335</c:v>
                </c:pt>
                <c:pt idx="15">
                  <c:v>335</c:v>
                </c:pt>
                <c:pt idx="16">
                  <c:v>335</c:v>
                </c:pt>
                <c:pt idx="17">
                  <c:v>335</c:v>
                </c:pt>
                <c:pt idx="18">
                  <c:v>335</c:v>
                </c:pt>
                <c:pt idx="19">
                  <c:v>335</c:v>
                </c:pt>
                <c:pt idx="20">
                  <c:v>335</c:v>
                </c:pt>
                <c:pt idx="21">
                  <c:v>335</c:v>
                </c:pt>
                <c:pt idx="22">
                  <c:v>335</c:v>
                </c:pt>
                <c:pt idx="23">
                  <c:v>335</c:v>
                </c:pt>
                <c:pt idx="24">
                  <c:v>335</c:v>
                </c:pt>
                <c:pt idx="25">
                  <c:v>335</c:v>
                </c:pt>
                <c:pt idx="26">
                  <c:v>335</c:v>
                </c:pt>
                <c:pt idx="27">
                  <c:v>335</c:v>
                </c:pt>
                <c:pt idx="28">
                  <c:v>335</c:v>
                </c:pt>
                <c:pt idx="29">
                  <c:v>335</c:v>
                </c:pt>
                <c:pt idx="30">
                  <c:v>335</c:v>
                </c:pt>
                <c:pt idx="31">
                  <c:v>335</c:v>
                </c:pt>
                <c:pt idx="32">
                  <c:v>335</c:v>
                </c:pt>
                <c:pt idx="33">
                  <c:v>335</c:v>
                </c:pt>
                <c:pt idx="34">
                  <c:v>335</c:v>
                </c:pt>
                <c:pt idx="35">
                  <c:v>335</c:v>
                </c:pt>
                <c:pt idx="36">
                  <c:v>335</c:v>
                </c:pt>
                <c:pt idx="37">
                  <c:v>335</c:v>
                </c:pt>
                <c:pt idx="38">
                  <c:v>335</c:v>
                </c:pt>
                <c:pt idx="39">
                  <c:v>335</c:v>
                </c:pt>
                <c:pt idx="40">
                  <c:v>335</c:v>
                </c:pt>
                <c:pt idx="41">
                  <c:v>335</c:v>
                </c:pt>
              </c:numCache>
            </c:numRef>
          </c:xVal>
          <c:yVal>
            <c:numRef>
              <c:f>'Ferment Graph'!$I$15:$I$56</c:f>
              <c:numCache>
                <c:formatCode>;;;</c:formatCode>
                <c:ptCount val="42"/>
                <c:pt idx="0">
                  <c:v>1.089</c:v>
                </c:pt>
                <c:pt idx="1">
                  <c:v>1.069</c:v>
                </c:pt>
                <c:pt idx="2">
                  <c:v>1.0483333333333333</c:v>
                </c:pt>
                <c:pt idx="3">
                  <c:v>1.0343333333333333</c:v>
                </c:pt>
                <c:pt idx="4">
                  <c:v>1.0203333333333333</c:v>
                </c:pt>
                <c:pt idx="5">
                  <c:v>1.0089999999999999</c:v>
                </c:pt>
                <c:pt idx="6">
                  <c:v>0.99233333333333329</c:v>
                </c:pt>
                <c:pt idx="7">
                  <c:v>0.97699999999999998</c:v>
                </c:pt>
                <c:pt idx="8">
                  <c:v>0.96166666666666667</c:v>
                </c:pt>
                <c:pt idx="9">
                  <c:v>0.94366666666666665</c:v>
                </c:pt>
                <c:pt idx="10">
                  <c:v>0.92899999999999994</c:v>
                </c:pt>
                <c:pt idx="11">
                  <c:v>0.91166666666666663</c:v>
                </c:pt>
                <c:pt idx="12">
                  <c:v>0.89366666666666661</c:v>
                </c:pt>
                <c:pt idx="13">
                  <c:v>0.8776666666666666</c:v>
                </c:pt>
                <c:pt idx="14">
                  <c:v>0.8776666666666666</c:v>
                </c:pt>
                <c:pt idx="15">
                  <c:v>0.8776666666666666</c:v>
                </c:pt>
                <c:pt idx="16">
                  <c:v>0.8776666666666666</c:v>
                </c:pt>
                <c:pt idx="17">
                  <c:v>0.8776666666666666</c:v>
                </c:pt>
                <c:pt idx="18">
                  <c:v>0.8776666666666666</c:v>
                </c:pt>
                <c:pt idx="19">
                  <c:v>0.8776666666666666</c:v>
                </c:pt>
                <c:pt idx="20">
                  <c:v>0.8776666666666666</c:v>
                </c:pt>
                <c:pt idx="21">
                  <c:v>0.8776666666666666</c:v>
                </c:pt>
                <c:pt idx="22">
                  <c:v>0.8776666666666666</c:v>
                </c:pt>
                <c:pt idx="23">
                  <c:v>0.8776666666666666</c:v>
                </c:pt>
                <c:pt idx="24">
                  <c:v>0.8776666666666666</c:v>
                </c:pt>
                <c:pt idx="25">
                  <c:v>0.8776666666666666</c:v>
                </c:pt>
                <c:pt idx="26">
                  <c:v>0.8776666666666666</c:v>
                </c:pt>
                <c:pt idx="27">
                  <c:v>0.8776666666666666</c:v>
                </c:pt>
                <c:pt idx="28">
                  <c:v>0.8776666666666666</c:v>
                </c:pt>
                <c:pt idx="29">
                  <c:v>0.8776666666666666</c:v>
                </c:pt>
                <c:pt idx="30">
                  <c:v>0.8776666666666666</c:v>
                </c:pt>
                <c:pt idx="31">
                  <c:v>0.8776666666666666</c:v>
                </c:pt>
                <c:pt idx="32">
                  <c:v>0.8776666666666666</c:v>
                </c:pt>
                <c:pt idx="33">
                  <c:v>0.8776666666666666</c:v>
                </c:pt>
                <c:pt idx="34">
                  <c:v>0.8776666666666666</c:v>
                </c:pt>
                <c:pt idx="35">
                  <c:v>0.8776666666666666</c:v>
                </c:pt>
                <c:pt idx="36">
                  <c:v>0.8776666666666666</c:v>
                </c:pt>
                <c:pt idx="37">
                  <c:v>0.8776666666666666</c:v>
                </c:pt>
                <c:pt idx="38">
                  <c:v>0.8776666666666666</c:v>
                </c:pt>
                <c:pt idx="39">
                  <c:v>0.8776666666666666</c:v>
                </c:pt>
                <c:pt idx="40">
                  <c:v>0.8776666666666666</c:v>
                </c:pt>
                <c:pt idx="41">
                  <c:v>0.8776666666666666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567616"/>
        <c:axId val="239569536"/>
      </c:scatterChart>
      <c:scatterChart>
        <c:scatterStyle val="smoothMarker"/>
        <c:varyColors val="0"/>
        <c:ser>
          <c:idx val="4"/>
          <c:order val="4"/>
          <c:tx>
            <c:strRef>
              <c:f>'Ferment Graph'!$J$13</c:f>
              <c:strCache>
                <c:ptCount val="1"/>
                <c:pt idx="0">
                  <c:v>Minimum Temperature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'Ferment Graph'!$D$14:$D$56</c:f>
              <c:numCache>
                <c:formatCode>0.00</c:formatCode>
                <c:ptCount val="43"/>
                <c:pt idx="0">
                  <c:v>0</c:v>
                </c:pt>
                <c:pt idx="1">
                  <c:v>18</c:v>
                </c:pt>
                <c:pt idx="2">
                  <c:v>48</c:v>
                </c:pt>
                <c:pt idx="3">
                  <c:v>79</c:v>
                </c:pt>
                <c:pt idx="4">
                  <c:v>100</c:v>
                </c:pt>
                <c:pt idx="5">
                  <c:v>121</c:v>
                </c:pt>
                <c:pt idx="6">
                  <c:v>138</c:v>
                </c:pt>
                <c:pt idx="7">
                  <c:v>163</c:v>
                </c:pt>
                <c:pt idx="8">
                  <c:v>186</c:v>
                </c:pt>
                <c:pt idx="9">
                  <c:v>209</c:v>
                </c:pt>
                <c:pt idx="10">
                  <c:v>236</c:v>
                </c:pt>
                <c:pt idx="11">
                  <c:v>258</c:v>
                </c:pt>
                <c:pt idx="12">
                  <c:v>284</c:v>
                </c:pt>
                <c:pt idx="13">
                  <c:v>311</c:v>
                </c:pt>
                <c:pt idx="14">
                  <c:v>335</c:v>
                </c:pt>
                <c:pt idx="15">
                  <c:v>335</c:v>
                </c:pt>
                <c:pt idx="16">
                  <c:v>335</c:v>
                </c:pt>
                <c:pt idx="17">
                  <c:v>335</c:v>
                </c:pt>
                <c:pt idx="18">
                  <c:v>335</c:v>
                </c:pt>
                <c:pt idx="19">
                  <c:v>335</c:v>
                </c:pt>
                <c:pt idx="20">
                  <c:v>335</c:v>
                </c:pt>
                <c:pt idx="21">
                  <c:v>335</c:v>
                </c:pt>
                <c:pt idx="22">
                  <c:v>335</c:v>
                </c:pt>
                <c:pt idx="23">
                  <c:v>335</c:v>
                </c:pt>
                <c:pt idx="24">
                  <c:v>335</c:v>
                </c:pt>
                <c:pt idx="25">
                  <c:v>335</c:v>
                </c:pt>
                <c:pt idx="26">
                  <c:v>335</c:v>
                </c:pt>
                <c:pt idx="27">
                  <c:v>335</c:v>
                </c:pt>
                <c:pt idx="28">
                  <c:v>335</c:v>
                </c:pt>
                <c:pt idx="29">
                  <c:v>335</c:v>
                </c:pt>
                <c:pt idx="30">
                  <c:v>335</c:v>
                </c:pt>
                <c:pt idx="31">
                  <c:v>335</c:v>
                </c:pt>
                <c:pt idx="32">
                  <c:v>335</c:v>
                </c:pt>
                <c:pt idx="33">
                  <c:v>335</c:v>
                </c:pt>
                <c:pt idx="34">
                  <c:v>335</c:v>
                </c:pt>
                <c:pt idx="35">
                  <c:v>335</c:v>
                </c:pt>
                <c:pt idx="36">
                  <c:v>335</c:v>
                </c:pt>
                <c:pt idx="37">
                  <c:v>335</c:v>
                </c:pt>
                <c:pt idx="38">
                  <c:v>335</c:v>
                </c:pt>
                <c:pt idx="39">
                  <c:v>335</c:v>
                </c:pt>
                <c:pt idx="40">
                  <c:v>335</c:v>
                </c:pt>
                <c:pt idx="41">
                  <c:v>335</c:v>
                </c:pt>
                <c:pt idx="42">
                  <c:v>335</c:v>
                </c:pt>
              </c:numCache>
            </c:numRef>
          </c:xVal>
          <c:yVal>
            <c:numRef>
              <c:f>'Ferment Graph'!$J$14:$J$56</c:f>
              <c:numCache>
                <c:formatCode>;;;</c:formatCode>
                <c:ptCount val="43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17</c:v>
                </c:pt>
                <c:pt idx="28">
                  <c:v>17</c:v>
                </c:pt>
                <c:pt idx="29">
                  <c:v>17</c:v>
                </c:pt>
                <c:pt idx="30">
                  <c:v>17</c:v>
                </c:pt>
                <c:pt idx="31">
                  <c:v>17</c:v>
                </c:pt>
                <c:pt idx="32">
                  <c:v>17</c:v>
                </c:pt>
                <c:pt idx="33">
                  <c:v>17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7">
                  <c:v>17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'Ferment Graph'!$K$13</c:f>
              <c:strCache>
                <c:ptCount val="1"/>
                <c:pt idx="0">
                  <c:v>Maximum temperature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'Ferment Graph'!$D$14:$D$56</c:f>
              <c:numCache>
                <c:formatCode>0.00</c:formatCode>
                <c:ptCount val="43"/>
                <c:pt idx="0">
                  <c:v>0</c:v>
                </c:pt>
                <c:pt idx="1">
                  <c:v>18</c:v>
                </c:pt>
                <c:pt idx="2">
                  <c:v>48</c:v>
                </c:pt>
                <c:pt idx="3">
                  <c:v>79</c:v>
                </c:pt>
                <c:pt idx="4">
                  <c:v>100</c:v>
                </c:pt>
                <c:pt idx="5">
                  <c:v>121</c:v>
                </c:pt>
                <c:pt idx="6">
                  <c:v>138</c:v>
                </c:pt>
                <c:pt idx="7">
                  <c:v>163</c:v>
                </c:pt>
                <c:pt idx="8">
                  <c:v>186</c:v>
                </c:pt>
                <c:pt idx="9">
                  <c:v>209</c:v>
                </c:pt>
                <c:pt idx="10">
                  <c:v>236</c:v>
                </c:pt>
                <c:pt idx="11">
                  <c:v>258</c:v>
                </c:pt>
                <c:pt idx="12">
                  <c:v>284</c:v>
                </c:pt>
                <c:pt idx="13">
                  <c:v>311</c:v>
                </c:pt>
                <c:pt idx="14">
                  <c:v>335</c:v>
                </c:pt>
                <c:pt idx="15">
                  <c:v>335</c:v>
                </c:pt>
                <c:pt idx="16">
                  <c:v>335</c:v>
                </c:pt>
                <c:pt idx="17">
                  <c:v>335</c:v>
                </c:pt>
                <c:pt idx="18">
                  <c:v>335</c:v>
                </c:pt>
                <c:pt idx="19">
                  <c:v>335</c:v>
                </c:pt>
                <c:pt idx="20">
                  <c:v>335</c:v>
                </c:pt>
                <c:pt idx="21">
                  <c:v>335</c:v>
                </c:pt>
                <c:pt idx="22">
                  <c:v>335</c:v>
                </c:pt>
                <c:pt idx="23">
                  <c:v>335</c:v>
                </c:pt>
                <c:pt idx="24">
                  <c:v>335</c:v>
                </c:pt>
                <c:pt idx="25">
                  <c:v>335</c:v>
                </c:pt>
                <c:pt idx="26">
                  <c:v>335</c:v>
                </c:pt>
                <c:pt idx="27">
                  <c:v>335</c:v>
                </c:pt>
                <c:pt idx="28">
                  <c:v>335</c:v>
                </c:pt>
                <c:pt idx="29">
                  <c:v>335</c:v>
                </c:pt>
                <c:pt idx="30">
                  <c:v>335</c:v>
                </c:pt>
                <c:pt idx="31">
                  <c:v>335</c:v>
                </c:pt>
                <c:pt idx="32">
                  <c:v>335</c:v>
                </c:pt>
                <c:pt idx="33">
                  <c:v>335</c:v>
                </c:pt>
                <c:pt idx="34">
                  <c:v>335</c:v>
                </c:pt>
                <c:pt idx="35">
                  <c:v>335</c:v>
                </c:pt>
                <c:pt idx="36">
                  <c:v>335</c:v>
                </c:pt>
                <c:pt idx="37">
                  <c:v>335</c:v>
                </c:pt>
                <c:pt idx="38">
                  <c:v>335</c:v>
                </c:pt>
                <c:pt idx="39">
                  <c:v>335</c:v>
                </c:pt>
                <c:pt idx="40">
                  <c:v>335</c:v>
                </c:pt>
                <c:pt idx="41">
                  <c:v>335</c:v>
                </c:pt>
                <c:pt idx="42">
                  <c:v>335</c:v>
                </c:pt>
              </c:numCache>
            </c:numRef>
          </c:xVal>
          <c:yVal>
            <c:numRef>
              <c:f>'Ferment Graph'!$K$14:$K$56</c:f>
              <c:numCache>
                <c:formatCode>;;;</c:formatCode>
                <c:ptCount val="43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28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28</c:v>
                </c:pt>
                <c:pt idx="32">
                  <c:v>28</c:v>
                </c:pt>
                <c:pt idx="33">
                  <c:v>28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7">
                  <c:v>28</c:v>
                </c:pt>
                <c:pt idx="38">
                  <c:v>28</c:v>
                </c:pt>
                <c:pt idx="39">
                  <c:v>28</c:v>
                </c:pt>
                <c:pt idx="40">
                  <c:v>28</c:v>
                </c:pt>
                <c:pt idx="41">
                  <c:v>28</c:v>
                </c:pt>
                <c:pt idx="42">
                  <c:v>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575808"/>
        <c:axId val="239577344"/>
      </c:scatterChart>
      <c:valAx>
        <c:axId val="239567616"/>
        <c:scaling>
          <c:orientation val="minMax"/>
          <c:max val="69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 sz="1200"/>
                  <a:t>Time (hours)</a:t>
                </a:r>
              </a:p>
            </c:rich>
          </c:tx>
          <c:layout>
            <c:manualLayout>
              <c:xMode val="edge"/>
              <c:yMode val="edge"/>
              <c:x val="0.46120712281654447"/>
              <c:y val="0.8710916460886176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9569536"/>
        <c:crosses val="autoZero"/>
        <c:crossBetween val="midCat"/>
        <c:majorUnit val="24"/>
      </c:valAx>
      <c:valAx>
        <c:axId val="239569536"/>
        <c:scaling>
          <c:orientation val="minMax"/>
          <c:max val="1.115"/>
          <c:min val="0.99"/>
        </c:scaling>
        <c:delete val="0"/>
        <c:axPos val="l"/>
        <c:majorGridlines>
          <c:spPr>
            <a:ln w="12700">
              <a:solidFill>
                <a:schemeClr val="tx1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 sz="1400"/>
                  <a:t>SG</a:t>
                </a:r>
              </a:p>
            </c:rich>
          </c:tx>
          <c:layout>
            <c:manualLayout>
              <c:xMode val="edge"/>
              <c:yMode val="edge"/>
              <c:x val="7.5431034482758624E-3"/>
              <c:y val="0.37525395124426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0" sourceLinked="0"/>
        <c:majorTickMark val="out"/>
        <c:minorTickMark val="in"/>
        <c:tickLblPos val="nextTo"/>
        <c:crossAx val="239567616"/>
        <c:crosses val="autoZero"/>
        <c:crossBetween val="midCat"/>
        <c:majorUnit val="5.000000000000001E-3"/>
      </c:valAx>
      <c:valAx>
        <c:axId val="23957580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39577344"/>
        <c:crosses val="autoZero"/>
        <c:crossBetween val="midCat"/>
      </c:valAx>
      <c:valAx>
        <c:axId val="239577344"/>
        <c:scaling>
          <c:orientation val="minMax"/>
          <c:max val="35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 sz="14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Temperature (</a:t>
                </a:r>
                <a:r>
                  <a:rPr lang="en-CA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º</a:t>
                </a:r>
                <a:r>
                  <a:rPr lang="en-CA" sz="14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C)</a:t>
                </a:r>
              </a:p>
            </c:rich>
          </c:tx>
          <c:layout>
            <c:manualLayout>
              <c:xMode val="edge"/>
              <c:yMode val="edge"/>
              <c:x val="0.95949448515467362"/>
              <c:y val="0.318546734749278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39575808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87931034482759E-3"/>
          <c:y val="0.90872296135396868"/>
          <c:w val="0.97844884152411982"/>
          <c:h val="8.519269776876270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440" y="4997480"/>
    <xdr:ext cx="971280" cy="199800"/>
    <xdr:sp macro="" textlink="">
      <xdr:nvSpPr>
        <xdr:cNvPr id="4" name="Drop Down 1" hidden="1"/>
        <xdr:cNvSpPr/>
      </xdr:nvSpPr>
      <xdr:spPr>
        <a:xfrm>
          <a:off x="28440" y="4997480"/>
          <a:ext cx="971280" cy="199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absoluteAnchor>
  <xdr:absoluteAnchor>
    <xdr:pos x="38160" y="8197880"/>
    <xdr:ext cx="961560" cy="209160"/>
    <xdr:sp macro="" textlink="">
      <xdr:nvSpPr>
        <xdr:cNvPr id="5" name="Drop Down 2" hidden="1"/>
        <xdr:cNvSpPr/>
      </xdr:nvSpPr>
      <xdr:spPr>
        <a:xfrm>
          <a:off x="38160" y="8197880"/>
          <a:ext cx="961560" cy="209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absoluteAnchor>
  <xdr:twoCellAnchor>
    <xdr:from>
      <xdr:col>0</xdr:col>
      <xdr:colOff>164880</xdr:colOff>
      <xdr:row>2</xdr:row>
      <xdr:rowOff>241200</xdr:rowOff>
    </xdr:from>
    <xdr:to>
      <xdr:col>10</xdr:col>
      <xdr:colOff>761760</xdr:colOff>
      <xdr:row>2</xdr:row>
      <xdr:rowOff>253800</xdr:rowOff>
    </xdr:to>
    <xdr:cxnSp macro="">
      <xdr:nvCxnSpPr>
        <xdr:cNvPr id="6" name="Straight Connector 9"/>
        <xdr:cNvCxnSpPr/>
      </xdr:nvCxnSpPr>
      <xdr:spPr>
        <a:xfrm>
          <a:off x="164880" y="869850"/>
          <a:ext cx="12560280" cy="12600"/>
        </a:xfrm>
        <a:prstGeom prst="straightConnector1">
          <a:avLst/>
        </a:prstGeom>
        <a:ln w="9360">
          <a:solidFill>
            <a:srgbClr val="4A7EBB"/>
          </a:solidFill>
          <a:round/>
        </a:ln>
      </xdr:spPr>
    </xdr:cxnSp>
    <xdr:clientData/>
  </xdr:twoCellAnchor>
  <xdr:twoCellAnchor>
    <xdr:from>
      <xdr:col>2</xdr:col>
      <xdr:colOff>4680</xdr:colOff>
      <xdr:row>56</xdr:row>
      <xdr:rowOff>43560</xdr:rowOff>
    </xdr:from>
    <xdr:to>
      <xdr:col>2</xdr:col>
      <xdr:colOff>547200</xdr:colOff>
      <xdr:row>56</xdr:row>
      <xdr:rowOff>165600</xdr:rowOff>
    </xdr:to>
    <xdr:sp macro="" textlink="">
      <xdr:nvSpPr>
        <xdr:cNvPr id="7" name="Right Arrow 10"/>
        <xdr:cNvSpPr/>
      </xdr:nvSpPr>
      <xdr:spPr>
        <a:xfrm>
          <a:off x="2509755" y="14902560"/>
          <a:ext cx="542520" cy="12204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560">
          <a:solidFill>
            <a:schemeClr val="accent1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706320</xdr:colOff>
      <xdr:row>56</xdr:row>
      <xdr:rowOff>55800</xdr:rowOff>
    </xdr:from>
    <xdr:to>
      <xdr:col>0</xdr:col>
      <xdr:colOff>1243080</xdr:colOff>
      <xdr:row>56</xdr:row>
      <xdr:rowOff>178200</xdr:rowOff>
    </xdr:to>
    <xdr:sp macro="" textlink="">
      <xdr:nvSpPr>
        <xdr:cNvPr id="8" name="Right Arrow 11"/>
        <xdr:cNvSpPr/>
      </xdr:nvSpPr>
      <xdr:spPr>
        <a:xfrm rot="10800000">
          <a:off x="706320" y="14914800"/>
          <a:ext cx="536760" cy="1224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560">
          <a:solidFill>
            <a:schemeClr val="accent1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73</xdr:col>
      <xdr:colOff>414000</xdr:colOff>
      <xdr:row>5</xdr:row>
      <xdr:rowOff>54720</xdr:rowOff>
    </xdr:from>
    <xdr:to>
      <xdr:col>78</xdr:col>
      <xdr:colOff>535680</xdr:colOff>
      <xdr:row>12</xdr:row>
      <xdr:rowOff>94320</xdr:rowOff>
    </xdr:to>
    <xdr:sp macro="" textlink="">
      <xdr:nvSpPr>
        <xdr:cNvPr id="9" name="TextBox 7" hidden="1"/>
        <xdr:cNvSpPr/>
      </xdr:nvSpPr>
      <xdr:spPr>
        <a:xfrm>
          <a:off x="32360850" y="1607295"/>
          <a:ext cx="3026805" cy="19827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en-CA" sz="1200" b="1" strike="noStrike" spc="-1">
              <a:solidFill>
                <a:schemeClr val="dk1"/>
              </a:solidFill>
              <a:latin typeface="Tahoma"/>
              <a:ea typeface="Tahoma"/>
            </a:rPr>
            <a:t>TABLE NO. 6</a:t>
          </a:r>
          <a:endParaRPr lang="en-CA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n-CA" sz="1100" b="1" strike="noStrike" spc="-1">
              <a:solidFill>
                <a:schemeClr val="dk1"/>
              </a:solidFill>
              <a:latin typeface="Tahoma"/>
              <a:ea typeface="Tahoma"/>
            </a:rPr>
            <a:t>RESPECTIVE VOLUMES OF ALCOHOL AND WATER</a:t>
          </a:r>
          <a:endParaRPr lang="en-CA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n-CA" sz="1100" b="1" strike="noStrike" spc="-1">
              <a:solidFill>
                <a:schemeClr val="dk1"/>
              </a:solidFill>
              <a:latin typeface="Tahoma"/>
              <a:ea typeface="Tahoma"/>
            </a:rPr>
            <a:t>AND THE SPECIFIC GRAVITY IN BOTH AIR</a:t>
          </a:r>
          <a:endParaRPr lang="en-CA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n-CA" sz="1100" b="1" strike="noStrike" spc="-1">
              <a:solidFill>
                <a:schemeClr val="dk1"/>
              </a:solidFill>
              <a:latin typeface="Tahoma"/>
              <a:ea typeface="Tahoma"/>
            </a:rPr>
            <a:t>AND VACUUM OF SPIRITUOUS LIQUOR</a:t>
          </a:r>
          <a:endParaRPr lang="en-CA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en-CA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n-CA" sz="1100" b="0" strike="noStrike" spc="-1">
              <a:solidFill>
                <a:schemeClr val="dk1"/>
              </a:solidFill>
              <a:latin typeface="Tahoma"/>
              <a:ea typeface="Tahoma"/>
            </a:rPr>
            <a:t>(Prepared by the National Bureau of Standards and based on Information published in Bulletin of the Bureau of Standards, Vol. 9, No. 3, pages  327–474, Oct. 16. 1918)</a:t>
          </a:r>
          <a:endParaRPr lang="en-CA" sz="1100" b="0" strike="noStrike" spc="-1">
            <a:latin typeface="Times New Roman"/>
          </a:endParaRPr>
        </a:p>
      </xdr:txBody>
    </xdr:sp>
    <xdr:clientData/>
  </xdr:twoCellAnchor>
  <xdr:oneCellAnchor>
    <xdr:from>
      <xdr:col>0</xdr:col>
      <xdr:colOff>28440</xdr:colOff>
      <xdr:row>18</xdr:row>
      <xdr:rowOff>19080</xdr:rowOff>
    </xdr:from>
    <xdr:ext cx="1138460" cy="215840"/>
    <xdr:sp macro="" textlink="">
      <xdr:nvSpPr>
        <xdr:cNvPr id="10" name="Drop Down 1"/>
        <xdr:cNvSpPr/>
      </xdr:nvSpPr>
      <xdr:spPr>
        <a:xfrm>
          <a:off x="28440" y="5000655"/>
          <a:ext cx="1138460" cy="215840"/>
        </a:xfrm>
        <a:prstGeom prst="rect">
          <a:avLst/>
        </a:prstGeom>
      </xdr:spPr>
      <xdr:txBody>
        <a:bodyPr anchor="ctr">
          <a:noAutofit/>
        </a:bodyPr>
        <a:lstStyle/>
        <a:p>
          <a:endParaRPr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19080</xdr:colOff>
      <xdr:row>29</xdr:row>
      <xdr:rowOff>28440</xdr:rowOff>
    </xdr:from>
    <xdr:ext cx="1138460" cy="206480"/>
    <xdr:sp macro="" textlink="">
      <xdr:nvSpPr>
        <xdr:cNvPr id="11" name="Drop Down 2"/>
        <xdr:cNvSpPr/>
      </xdr:nvSpPr>
      <xdr:spPr>
        <a:xfrm>
          <a:off x="19080" y="8181840"/>
          <a:ext cx="1138460" cy="20648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oneCellAnchor>
  <xdr:oneCellAnchor>
    <xdr:from>
      <xdr:col>7</xdr:col>
      <xdr:colOff>665960</xdr:colOff>
      <xdr:row>16</xdr:row>
      <xdr:rowOff>60160</xdr:rowOff>
    </xdr:from>
    <xdr:ext cx="1147400" cy="225560"/>
    <xdr:sp macro="" textlink="">
      <xdr:nvSpPr>
        <xdr:cNvPr id="12" name="Drop Down 3"/>
        <xdr:cNvSpPr/>
      </xdr:nvSpPr>
      <xdr:spPr>
        <a:xfrm>
          <a:off x="9114635" y="4527385"/>
          <a:ext cx="1147400" cy="22556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oneCellAnchor>
  <xdr:oneCellAnchor>
    <xdr:from>
      <xdr:col>8</xdr:col>
      <xdr:colOff>33120</xdr:colOff>
      <xdr:row>16</xdr:row>
      <xdr:rowOff>9360</xdr:rowOff>
    </xdr:from>
    <xdr:ext cx="1170440" cy="225560"/>
    <xdr:sp macro="" textlink="">
      <xdr:nvSpPr>
        <xdr:cNvPr id="13" name="Drop Down 4"/>
        <xdr:cNvSpPr/>
      </xdr:nvSpPr>
      <xdr:spPr>
        <a:xfrm>
          <a:off x="9720045" y="4476585"/>
          <a:ext cx="1170440" cy="22556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oneCellAnchor>
  <xdr:oneCellAnchor>
    <xdr:from>
      <xdr:col>8</xdr:col>
      <xdr:colOff>1281960</xdr:colOff>
      <xdr:row>16</xdr:row>
      <xdr:rowOff>9360</xdr:rowOff>
    </xdr:from>
    <xdr:ext cx="1045100" cy="225560"/>
    <xdr:sp macro="" textlink="">
      <xdr:nvSpPr>
        <xdr:cNvPr id="14" name="Drop Down 5"/>
        <xdr:cNvSpPr/>
      </xdr:nvSpPr>
      <xdr:spPr>
        <a:xfrm>
          <a:off x="10921260" y="4476585"/>
          <a:ext cx="1045100" cy="22556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oneCellAnchor>
  <xdr:twoCellAnchor>
    <xdr:from>
      <xdr:col>36</xdr:col>
      <xdr:colOff>114300</xdr:colOff>
      <xdr:row>5</xdr:row>
      <xdr:rowOff>0</xdr:rowOff>
    </xdr:from>
    <xdr:to>
      <xdr:col>42</xdr:col>
      <xdr:colOff>520700</xdr:colOff>
      <xdr:row>15</xdr:row>
      <xdr:rowOff>0</xdr:rowOff>
    </xdr:to>
    <xdr:sp macro="" textlink="">
      <xdr:nvSpPr>
        <xdr:cNvPr id="15" name="TextBox 14"/>
        <xdr:cNvSpPr txBox="1"/>
      </xdr:nvSpPr>
      <xdr:spPr>
        <a:xfrm>
          <a:off x="13630275" y="1552575"/>
          <a:ext cx="0" cy="2657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200" b="1">
              <a:latin typeface="Verdana" panose="020B0604030504040204" pitchFamily="34" charset="0"/>
              <a:ea typeface="Verdana" panose="020B0604030504040204" pitchFamily="34" charset="0"/>
            </a:rPr>
            <a:t>IUPAC</a:t>
          </a:r>
        </a:p>
        <a:p>
          <a:pPr algn="l"/>
          <a:r>
            <a:rPr lang="en-CA" sz="1200" b="0">
              <a:latin typeface="Verdana" panose="020B0604030504040204" pitchFamily="34" charset="0"/>
              <a:ea typeface="Verdana" panose="020B0604030504040204" pitchFamily="34" charset="0"/>
            </a:rPr>
            <a:t>INTERNATIONAL UNION OF PURE</a:t>
          </a:r>
          <a:r>
            <a:rPr lang="en-CA" sz="1200" b="0" baseline="0">
              <a:latin typeface="Verdana" panose="020B0604030504040204" pitchFamily="34" charset="0"/>
              <a:ea typeface="Verdana" panose="020B0604030504040204" pitchFamily="34" charset="0"/>
            </a:rPr>
            <a:t> AND APPLIED CHEMISTRY</a:t>
          </a:r>
        </a:p>
        <a:p>
          <a:pPr algn="l"/>
          <a:r>
            <a:rPr lang="en-CA" sz="1200" b="0" baseline="0">
              <a:latin typeface="Verdana" panose="020B0604030504040204" pitchFamily="34" charset="0"/>
              <a:ea typeface="Verdana" panose="020B0604030504040204" pitchFamily="34" charset="0"/>
            </a:rPr>
            <a:t>Standardization of Methods for Determination of the Alcohol Content of Beverages and Distilled Potable Spirits.</a:t>
          </a:r>
        </a:p>
        <a:p>
          <a:pPr algn="l"/>
          <a:r>
            <a:rPr lang="en-CA" sz="1200" b="0" baseline="0">
              <a:latin typeface="Verdana" panose="020B0604030504040204" pitchFamily="34" charset="0"/>
              <a:ea typeface="Verdana" panose="020B0604030504040204" pitchFamily="34" charset="0"/>
            </a:rPr>
            <a:t>—National Bureau of Standards, U.S.A.</a:t>
          </a:r>
        </a:p>
        <a:p>
          <a:pPr algn="l"/>
          <a:r>
            <a:rPr lang="en-CA" sz="1200" b="0" baseline="0">
              <a:latin typeface="Verdana" panose="020B0604030504040204" pitchFamily="34" charset="0"/>
              <a:ea typeface="Verdana" panose="020B0604030504040204" pitchFamily="34" charset="0"/>
            </a:rPr>
            <a:t>—Kawasaki, Japan</a:t>
          </a:r>
        </a:p>
        <a:p>
          <a:pPr algn="l"/>
          <a:r>
            <a:rPr lang="en-CA" sz="1200" b="0" baseline="0">
              <a:latin typeface="Verdana" panose="020B0604030504040204" pitchFamily="34" charset="0"/>
              <a:ea typeface="Verdana" panose="020B0604030504040204" pitchFamily="34" charset="0"/>
            </a:rPr>
            <a:t>—Gay-Lussac</a:t>
          </a:r>
        </a:p>
        <a:p>
          <a:pPr algn="l"/>
          <a:r>
            <a:rPr lang="en-CA" sz="1200" b="0" baseline="0">
              <a:latin typeface="Verdana" panose="020B0604030504040204" pitchFamily="34" charset="0"/>
              <a:ea typeface="Verdana" panose="020B0604030504040204" pitchFamily="34" charset="0"/>
            </a:rPr>
            <a:t>—Windisch</a:t>
          </a:r>
        </a:p>
        <a:p>
          <a:pPr algn="l"/>
          <a:r>
            <a:rPr lang="en-CA" sz="1200" b="0" baseline="0">
              <a:latin typeface="Verdana" panose="020B0604030504040204" pitchFamily="34" charset="0"/>
              <a:ea typeface="Verdana" panose="020B0604030504040204" pitchFamily="34" charset="0"/>
            </a:rPr>
            <a:t>—Tralles</a:t>
          </a:r>
        </a:p>
        <a:p>
          <a:pPr algn="l"/>
          <a:r>
            <a:rPr lang="en-CA" sz="1200" b="0" baseline="0">
              <a:latin typeface="Verdana" panose="020B0604030504040204" pitchFamily="34" charset="0"/>
              <a:ea typeface="Verdana" panose="020B0604030504040204" pitchFamily="34" charset="0"/>
            </a:rPr>
            <a:t>	London</a:t>
          </a:r>
        </a:p>
        <a:p>
          <a:pPr algn="l"/>
          <a:r>
            <a:rPr lang="en-CA" sz="1200" b="0" baseline="0">
              <a:latin typeface="Verdana" panose="020B0604030504040204" pitchFamily="34" charset="0"/>
              <a:ea typeface="Verdana" panose="020B0604030504040204" pitchFamily="34" charset="0"/>
            </a:rPr>
            <a:t>	Butterworths</a:t>
          </a:r>
          <a:endParaRPr lang="en-CA" sz="1200" b="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  <a:p>
          <a:pPr algn="l"/>
          <a:endParaRPr lang="en-CA" sz="1100" b="1"/>
        </a:p>
      </xdr:txBody>
    </xdr:sp>
    <xdr:clientData/>
  </xdr:twoCellAnchor>
  <xdr:twoCellAnchor>
    <xdr:from>
      <xdr:col>21</xdr:col>
      <xdr:colOff>25400</xdr:colOff>
      <xdr:row>1</xdr:row>
      <xdr:rowOff>12700</xdr:rowOff>
    </xdr:from>
    <xdr:to>
      <xdr:col>25</xdr:col>
      <xdr:colOff>520700</xdr:colOff>
      <xdr:row>6</xdr:row>
      <xdr:rowOff>63500</xdr:rowOff>
    </xdr:to>
    <xdr:sp macro="" textlink="">
      <xdr:nvSpPr>
        <xdr:cNvPr id="16" name="TextBox 15"/>
        <xdr:cNvSpPr txBox="1"/>
      </xdr:nvSpPr>
      <xdr:spPr>
        <a:xfrm>
          <a:off x="13630275" y="327025"/>
          <a:ext cx="0" cy="186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200" b="1">
              <a:latin typeface="Verdana" panose="020B0604030504040204" pitchFamily="34" charset="0"/>
              <a:ea typeface="Verdana" panose="020B0604030504040204" pitchFamily="34" charset="0"/>
            </a:rPr>
            <a:t>TTB TABLE 6</a:t>
          </a:r>
        </a:p>
        <a:p>
          <a:pPr algn="l"/>
          <a:r>
            <a:rPr lang="en-CA" sz="1200" b="1">
              <a:latin typeface="Verdana" panose="020B0604030504040204" pitchFamily="34" charset="0"/>
              <a:ea typeface="Verdana" panose="020B0604030504040204" pitchFamily="34" charset="0"/>
            </a:rPr>
            <a:t>Respective Volumes</a:t>
          </a:r>
          <a:r>
            <a:rPr lang="en-CA" sz="1200" b="1" baseline="0">
              <a:latin typeface="Verdana" panose="020B0604030504040204" pitchFamily="34" charset="0"/>
              <a:ea typeface="Verdana" panose="020B0604030504040204" pitchFamily="34" charset="0"/>
            </a:rPr>
            <a:t> of Alcohol and Water and the Specific Gravity in both Air and Vacuum of Spirituous Liquor.</a:t>
          </a:r>
        </a:p>
        <a:p>
          <a:pPr algn="l"/>
          <a:r>
            <a:rPr lang="en-CA" sz="1200" b="0" baseline="0">
              <a:latin typeface="Verdana" panose="020B0604030504040204" pitchFamily="34" charset="0"/>
              <a:ea typeface="Verdana" panose="020B0604030504040204" pitchFamily="34" charset="0"/>
            </a:rPr>
            <a:t>Prepared by the National Bureau of Standards and based on the Bureau of Standards, Vol. 9, No. 3, pages 327—474, Oct. 16, 1918</a:t>
          </a:r>
          <a:endParaRPr lang="en-CA" sz="1200" b="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101601</xdr:colOff>
      <xdr:row>2</xdr:row>
      <xdr:rowOff>25400</xdr:rowOff>
    </xdr:from>
    <xdr:to>
      <xdr:col>20</xdr:col>
      <xdr:colOff>571501</xdr:colOff>
      <xdr:row>15</xdr:row>
      <xdr:rowOff>76200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800100</xdr:colOff>
      <xdr:row>22</xdr:row>
      <xdr:rowOff>25400</xdr:rowOff>
    </xdr:from>
    <xdr:to>
      <xdr:col>21</xdr:col>
      <xdr:colOff>427829</xdr:colOff>
      <xdr:row>37</xdr:row>
      <xdr:rowOff>135731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</xdr:colOff>
      <xdr:row>125</xdr:row>
      <xdr:rowOff>127000</xdr:rowOff>
    </xdr:from>
    <xdr:to>
      <xdr:col>6</xdr:col>
      <xdr:colOff>1308100</xdr:colOff>
      <xdr:row>138</xdr:row>
      <xdr:rowOff>254000</xdr:rowOff>
    </xdr:to>
    <xdr:sp macro="" textlink="">
      <xdr:nvSpPr>
        <xdr:cNvPr id="19" name="TextBox 18"/>
        <xdr:cNvSpPr txBox="1"/>
      </xdr:nvSpPr>
      <xdr:spPr>
        <a:xfrm>
          <a:off x="50800" y="33782000"/>
          <a:ext cx="8255000" cy="41910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400" b="1" i="0" u="none" strike="noStrike" kern="0" cap="none" spc="-1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1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Fermentation Temperature Guide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1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   </a:t>
          </a:r>
          <a:r>
            <a:rPr kumimoji="0" lang="en-CA" sz="1200" b="1" i="0" u="none" strike="noStrike" kern="0" cap="none" spc="-1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TEMPERATURE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1" i="0" u="none" strike="noStrike" kern="0" cap="none" spc="-1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	</a:t>
          </a:r>
          <a:r>
            <a:rPr kumimoji="0" lang="en-CA" sz="1000" b="1" i="0" u="none" strike="noStrike" kern="0" cap="none" spc="-1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Dominique Deiteil, ICV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1" i="0" u="none" strike="noStrike" kern="0" cap="none" spc="-1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</a:t>
          </a:r>
          <a:r>
            <a:rPr kumimoji="0" lang="en-CA" sz="1100" b="0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Start fermentation under </a:t>
          </a:r>
          <a:r>
            <a:rPr kumimoji="0" lang="en-CA" sz="1100" b="1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25° C. </a:t>
          </a:r>
          <a:r>
            <a:rPr kumimoji="0" lang="en-CA" sz="1100" b="0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Maintain temperatures </a:t>
          </a:r>
          <a:r>
            <a:rPr kumimoji="0" lang="en-CA" sz="1100" b="1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below 25° C </a:t>
          </a:r>
          <a:r>
            <a:rPr kumimoji="0" lang="en-CA" sz="1100" b="0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through out the first </a:t>
          </a:r>
          <a:r>
            <a:rPr kumimoji="0" lang="en-CA" sz="1100" b="1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1/4</a:t>
          </a:r>
          <a:r>
            <a:rPr kumimoji="0" lang="en-CA" sz="1100" b="0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drop in Brix. Yeast growth is maximum at 25° C. The recommended peak temperature for high Brix musts is </a:t>
          </a:r>
          <a:r>
            <a:rPr kumimoji="0" lang="en-CA" sz="1100" b="1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28° C</a:t>
          </a:r>
          <a:r>
            <a:rPr kumimoji="0" lang="en-CA" sz="1100" b="0" i="0" u="none" strike="noStrike" kern="0" cap="none" spc="-1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. The more yeast is stressed early in fermentation the lower the peak temperature it can tolerate.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    </a:t>
          </a:r>
          <a:r>
            <a:rPr kumimoji="0" lang="en-CA" sz="1100" b="1" i="0" u="none" strike="noStrike" kern="0" cap="none" spc="-1" normalizeH="0" baseline="0" noProof="0" smtClean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NUTRIENT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  </a:t>
          </a:r>
          <a:r>
            <a:rPr kumimoji="0" lang="en-CA" sz="1100" b="0" i="0" u="none" strike="noStrike" kern="0" cap="none" spc="-1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During the first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24 hrs (3–4° Bx drop) 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multiplication phase yeasts need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oxygen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and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essential micronutrients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, (B1, B5, amino acids, sterols, polyunsaturated fatty acids and trace minerals)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These are provided by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Fermaid O, 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an organic nutrient. During the multiplication phase "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DAP"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(diammonium  phosphate) increases the yeast biomass too quickly, resulting in excessive intracellular alcohol faster than what can be excreted. This will cause problems in the later phases of the fermentation.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The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next 24 hrs but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before the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1/3 Brix drop  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 nutrient with nitrogen (ammonium ions) like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"DAP", "Fermaid K", "Superfood", "Nutristart" 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can be used to top up the YAN in musts that are low in YAN. Yeast in the later phase of fermentation are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not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able to quickly process organic nutrients but ammonium ions are easily assimilated. Spontaneous fermentation  will consume all initial YAN in just a few 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Example:–  YAN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for a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20° Bx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must is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170 ± mgN/L 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for heathy growth for yeast with low nutrient demands. Too much YAN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(&gt;350 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±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mgN/L 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) can increase stress conditions and produce undesirable characteristics such as off–flavours or a stuck ferment.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"Fermaid O" 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is a 100% organic nutrient that is </a:t>
          </a:r>
          <a:r>
            <a:rPr kumimoji="0" lang="en-CA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4–6 times  </a:t>
          </a:r>
          <a:r>
            <a:rPr kumimoji="0" lang="en-CA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more effective than it's measured  nitrogen of (43 mgN/L).</a:t>
          </a:r>
          <a:endParaRPr kumimoji="0" lang="en-CA" sz="1100" b="1" i="0" u="none" strike="noStrike" kern="0" cap="none" spc="-1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endParaRPr lang="en-CA" sz="1100"/>
        </a:p>
      </xdr:txBody>
    </xdr:sp>
    <xdr:clientData/>
  </xdr:twoCellAnchor>
  <xdr:twoCellAnchor>
    <xdr:from>
      <xdr:col>6</xdr:col>
      <xdr:colOff>1435100</xdr:colOff>
      <xdr:row>125</xdr:row>
      <xdr:rowOff>114300</xdr:rowOff>
    </xdr:from>
    <xdr:to>
      <xdr:col>10</xdr:col>
      <xdr:colOff>1079500</xdr:colOff>
      <xdr:row>138</xdr:row>
      <xdr:rowOff>215900</xdr:rowOff>
    </xdr:to>
    <xdr:sp macro="" textlink="">
      <xdr:nvSpPr>
        <xdr:cNvPr id="20" name="TextBox 19"/>
        <xdr:cNvSpPr txBox="1"/>
      </xdr:nvSpPr>
      <xdr:spPr>
        <a:xfrm>
          <a:off x="8432800" y="33769300"/>
          <a:ext cx="4622800" cy="41656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Yeast Re–hydration Notes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Dissolve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"Go–Ferm Protect Evolution" 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in a volume of water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20 times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it's weight at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43° C 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(110° F).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Allow to cool below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40° C 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(104° F) before adding yeast.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Let mixture stand for 15 minutes to allow yeast to absorb water and stir gently to break up any clumps. Then gently stir in an equal amount of must over a 5 minute period.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Bring the inoculant temperature down very gradually to less than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10° C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difference. Then add the inoculant to the must on the surface and around the edges. After 15 minutes mix in thoroughly.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Do not 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use chlorinated water or distilled water; yeast require trace minerals in the water.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Do not 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Use "DAP", "Fermaid K", "Nutristart", or "Superfood" for rehydration.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The latest version of Go–Ferm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"Go–Ferm Sterol Flash"  W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eight =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1.25 times grams of yeast.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ehydrates in cool water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(&gt;16° C)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,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10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times it's weight, instantly disperses in cool water, non–clumping. 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dd yeast, let soak for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15 minutes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  No need to acclimatize before inoculating.                                  </a:t>
          </a:r>
          <a:r>
            <a:rPr kumimoji="0" lang="en-CA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                   Go-Ferm S.F. </a:t>
          </a: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is extra rich in sterols, polyunsaturated fatty acids.</a:t>
          </a:r>
        </a:p>
        <a:p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7</xdr:row>
      <xdr:rowOff>180975</xdr:rowOff>
    </xdr:from>
    <xdr:to>
      <xdr:col>3</xdr:col>
      <xdr:colOff>390526</xdr:colOff>
      <xdr:row>18</xdr:row>
      <xdr:rowOff>76200</xdr:rowOff>
    </xdr:to>
    <xdr:sp macro="" textlink="">
      <xdr:nvSpPr>
        <xdr:cNvPr id="2" name="TextBox 1"/>
        <xdr:cNvSpPr txBox="1"/>
      </xdr:nvSpPr>
      <xdr:spPr>
        <a:xfrm>
          <a:off x="180976" y="1771650"/>
          <a:ext cx="4019550" cy="1990725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 b="1">
              <a:latin typeface="Arial" panose="020B0604020202020204" pitchFamily="34" charset="0"/>
              <a:cs typeface="Arial" panose="020B0604020202020204" pitchFamily="34" charset="0"/>
            </a:rPr>
            <a:t>REFERENCE, "</a:t>
          </a:r>
          <a:r>
            <a:rPr lang="en-CA" sz="1000" b="1">
              <a:latin typeface="Arial" panose="020B0604020202020204" pitchFamily="34" charset="0"/>
              <a:cs typeface="Arial" panose="020B0604020202020204" pitchFamily="34" charset="0"/>
            </a:rPr>
            <a:t>Dominique Delteil, ICV"</a:t>
          </a:r>
        </a:p>
        <a:p>
          <a:r>
            <a:rPr lang="en-CA" sz="1200" baseline="0"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en-CA" sz="1200" b="0" i="0" u="none" strike="noStrike" baseline="0" smtClean="0">
              <a:latin typeface="Book Antiqua"/>
            </a:rPr>
            <a:t>To avoid excessive accumulation of intracellular alcohol maintain temperatures below 25° C through out the first 1/4  of fermentation. This also helps to extend the time for extraction of water soluble tannins and polysaccharides under low alcohol conditions. </a:t>
          </a:r>
        </a:p>
        <a:p>
          <a:r>
            <a:rPr lang="en-CA" sz="1200" b="0" i="0" u="none" strike="noStrike" baseline="0" smtClean="0">
              <a:latin typeface="Book Antiqua"/>
            </a:rPr>
            <a:t>    Keep peak temperature below 28° C,  especially in must with high alcohol potential. The more yeast is stressed early in fermentation, the lower the peak temperature it can tolerate.</a:t>
          </a:r>
          <a:endParaRPr lang="en-CA" sz="12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14</xdr:row>
      <xdr:rowOff>213360</xdr:rowOff>
    </xdr:from>
    <xdr:to>
      <xdr:col>2</xdr:col>
      <xdr:colOff>0</xdr:colOff>
      <xdr:row>16</xdr:row>
      <xdr:rowOff>213360</xdr:rowOff>
    </xdr:to>
    <xdr:sp macro="" textlink="">
      <xdr:nvSpPr>
        <xdr:cNvPr id="2" name="TextBox 1"/>
        <xdr:cNvSpPr txBox="1"/>
      </xdr:nvSpPr>
      <xdr:spPr>
        <a:xfrm>
          <a:off x="198120" y="3613785"/>
          <a:ext cx="2821305" cy="4572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/>
            <a:t>Reference:–</a:t>
          </a:r>
        </a:p>
        <a:p>
          <a:r>
            <a:rPr lang="en-CA" sz="1100"/>
            <a:t>Scott Lab</a:t>
          </a:r>
          <a:r>
            <a:rPr lang="en-CA" sz="1100" baseline="0"/>
            <a:t> 2024 Winemaking Handbook</a:t>
          </a:r>
          <a:endParaRPr lang="en-C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590549</xdr:colOff>
      <xdr:row>10</xdr:row>
      <xdr:rowOff>28575</xdr:rowOff>
    </xdr:from>
    <xdr:to>
      <xdr:col>22</xdr:col>
      <xdr:colOff>0</xdr:colOff>
      <xdr:row>39</xdr:row>
      <xdr:rowOff>66674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ine\Templates\MustCalc24_12%20Web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stCalc"/>
      <sheetName val="Yeast Chart"/>
      <sheetName val="MLB Chart"/>
      <sheetName val="Renaissance Yeast"/>
      <sheetName val="Alc Dilution"/>
    </sheetNames>
    <sheetDataSet>
      <sheetData sheetId="0">
        <row r="4">
          <cell r="AA4">
            <v>1</v>
          </cell>
          <cell r="AB4">
            <v>0.5</v>
          </cell>
          <cell r="AC4">
            <v>99.53</v>
          </cell>
        </row>
        <row r="5">
          <cell r="AA5">
            <v>2</v>
          </cell>
          <cell r="AB5">
            <v>1</v>
          </cell>
          <cell r="AC5">
            <v>99.06</v>
          </cell>
        </row>
        <row r="6">
          <cell r="AA6">
            <v>3</v>
          </cell>
          <cell r="AB6">
            <v>1.5</v>
          </cell>
          <cell r="AC6">
            <v>98.58</v>
          </cell>
        </row>
        <row r="7">
          <cell r="AA7">
            <v>4</v>
          </cell>
          <cell r="AB7">
            <v>2</v>
          </cell>
          <cell r="AC7">
            <v>98.12</v>
          </cell>
        </row>
        <row r="8">
          <cell r="AA8">
            <v>5</v>
          </cell>
          <cell r="AB8">
            <v>2.5</v>
          </cell>
          <cell r="AC8">
            <v>97.65</v>
          </cell>
        </row>
        <row r="9">
          <cell r="AA9">
            <v>6</v>
          </cell>
          <cell r="AB9">
            <v>3</v>
          </cell>
          <cell r="AC9">
            <v>97.18</v>
          </cell>
        </row>
        <row r="10">
          <cell r="AA10">
            <v>7</v>
          </cell>
          <cell r="AB10">
            <v>3.5</v>
          </cell>
          <cell r="AC10">
            <v>96.71</v>
          </cell>
        </row>
        <row r="11">
          <cell r="AA11">
            <v>8</v>
          </cell>
          <cell r="AB11">
            <v>4</v>
          </cell>
          <cell r="AC11">
            <v>96.24</v>
          </cell>
        </row>
        <row r="12">
          <cell r="AA12">
            <v>9</v>
          </cell>
          <cell r="AB12">
            <v>4.5</v>
          </cell>
          <cell r="AC12">
            <v>95.78</v>
          </cell>
        </row>
        <row r="13">
          <cell r="AA13">
            <v>10</v>
          </cell>
          <cell r="AB13">
            <v>5</v>
          </cell>
          <cell r="AC13">
            <v>95.31</v>
          </cell>
        </row>
        <row r="14">
          <cell r="AA14">
            <v>11</v>
          </cell>
          <cell r="AB14">
            <v>5.5</v>
          </cell>
          <cell r="AC14">
            <v>94.85</v>
          </cell>
        </row>
        <row r="15">
          <cell r="AA15">
            <v>12</v>
          </cell>
          <cell r="AB15">
            <v>6</v>
          </cell>
          <cell r="AC15">
            <v>94.39</v>
          </cell>
        </row>
        <row r="16">
          <cell r="AA16">
            <v>13</v>
          </cell>
          <cell r="AB16">
            <v>6.5</v>
          </cell>
          <cell r="AC16">
            <v>93.93</v>
          </cell>
        </row>
        <row r="17">
          <cell r="AA17">
            <v>14</v>
          </cell>
          <cell r="AB17">
            <v>7</v>
          </cell>
          <cell r="AC17">
            <v>93.46</v>
          </cell>
        </row>
        <row r="18">
          <cell r="AA18">
            <v>15</v>
          </cell>
          <cell r="AB18">
            <v>7.5</v>
          </cell>
          <cell r="AC18">
            <v>93.01</v>
          </cell>
        </row>
        <row r="19">
          <cell r="AA19">
            <v>16</v>
          </cell>
          <cell r="AB19">
            <v>8</v>
          </cell>
          <cell r="AC19">
            <v>92.55</v>
          </cell>
        </row>
        <row r="20">
          <cell r="AA20">
            <v>17</v>
          </cell>
          <cell r="AB20">
            <v>8.5</v>
          </cell>
          <cell r="AC20">
            <v>92.09</v>
          </cell>
        </row>
        <row r="21">
          <cell r="AA21">
            <v>18</v>
          </cell>
          <cell r="AB21">
            <v>9</v>
          </cell>
          <cell r="AC21">
            <v>91.63</v>
          </cell>
        </row>
        <row r="22">
          <cell r="AA22">
            <v>19</v>
          </cell>
          <cell r="AB22">
            <v>9.5</v>
          </cell>
          <cell r="AC22">
            <v>91.18</v>
          </cell>
        </row>
        <row r="23">
          <cell r="AA23">
            <v>20</v>
          </cell>
          <cell r="AB23">
            <v>10</v>
          </cell>
          <cell r="AC23">
            <v>90.72</v>
          </cell>
        </row>
        <row r="24">
          <cell r="AA24">
            <v>21</v>
          </cell>
          <cell r="AB24">
            <v>10.5</v>
          </cell>
          <cell r="AC24">
            <v>90.27</v>
          </cell>
        </row>
        <row r="25">
          <cell r="AA25">
            <v>22</v>
          </cell>
          <cell r="AB25">
            <v>11</v>
          </cell>
          <cell r="AC25">
            <v>89.81</v>
          </cell>
        </row>
        <row r="26">
          <cell r="AA26">
            <v>23</v>
          </cell>
          <cell r="AB26">
            <v>11.5</v>
          </cell>
          <cell r="AC26">
            <v>89.36</v>
          </cell>
        </row>
        <row r="27">
          <cell r="AA27">
            <v>24</v>
          </cell>
          <cell r="AB27">
            <v>12</v>
          </cell>
          <cell r="AC27">
            <v>88.9</v>
          </cell>
        </row>
        <row r="28">
          <cell r="AA28">
            <v>25</v>
          </cell>
          <cell r="AB28">
            <v>12.5</v>
          </cell>
          <cell r="AC28">
            <v>88.45</v>
          </cell>
        </row>
        <row r="29">
          <cell r="AA29">
            <v>26</v>
          </cell>
          <cell r="AB29">
            <v>13</v>
          </cell>
          <cell r="AC29">
            <v>88</v>
          </cell>
        </row>
        <row r="30">
          <cell r="AA30">
            <v>27</v>
          </cell>
          <cell r="AB30">
            <v>13.5</v>
          </cell>
          <cell r="AC30">
            <v>87.55</v>
          </cell>
        </row>
        <row r="31">
          <cell r="AA31">
            <v>28</v>
          </cell>
          <cell r="AB31">
            <v>14</v>
          </cell>
          <cell r="AC31">
            <v>87.1</v>
          </cell>
        </row>
        <row r="32">
          <cell r="AA32">
            <v>29</v>
          </cell>
          <cell r="AB32">
            <v>14.5</v>
          </cell>
          <cell r="AC32">
            <v>86.65</v>
          </cell>
        </row>
        <row r="33">
          <cell r="AA33">
            <v>30</v>
          </cell>
          <cell r="AB33">
            <v>15</v>
          </cell>
          <cell r="AC33">
            <v>86.2</v>
          </cell>
        </row>
        <row r="34">
          <cell r="AA34">
            <v>31</v>
          </cell>
          <cell r="AB34">
            <v>15.5</v>
          </cell>
          <cell r="AC34">
            <v>85.75</v>
          </cell>
        </row>
        <row r="35">
          <cell r="AA35">
            <v>32</v>
          </cell>
          <cell r="AB35">
            <v>16</v>
          </cell>
          <cell r="AC35">
            <v>85.3</v>
          </cell>
        </row>
        <row r="36">
          <cell r="AA36">
            <v>33</v>
          </cell>
          <cell r="AB36">
            <v>16.5</v>
          </cell>
          <cell r="AC36">
            <v>84.85</v>
          </cell>
        </row>
        <row r="37">
          <cell r="AA37">
            <v>34</v>
          </cell>
          <cell r="AB37">
            <v>17</v>
          </cell>
          <cell r="AC37">
            <v>84.4</v>
          </cell>
        </row>
        <row r="38">
          <cell r="AA38">
            <v>35</v>
          </cell>
          <cell r="AB38">
            <v>17.5</v>
          </cell>
          <cell r="AC38">
            <v>83.95</v>
          </cell>
        </row>
        <row r="39">
          <cell r="AA39">
            <v>36</v>
          </cell>
          <cell r="AB39">
            <v>18</v>
          </cell>
          <cell r="AC39">
            <v>83.5</v>
          </cell>
        </row>
        <row r="40">
          <cell r="AA40">
            <v>37</v>
          </cell>
          <cell r="AB40">
            <v>18.5</v>
          </cell>
          <cell r="AC40">
            <v>83.06</v>
          </cell>
        </row>
        <row r="41">
          <cell r="AA41">
            <v>38</v>
          </cell>
          <cell r="AB41">
            <v>19</v>
          </cell>
          <cell r="AC41">
            <v>82.61</v>
          </cell>
        </row>
        <row r="42">
          <cell r="AA42">
            <v>39</v>
          </cell>
          <cell r="AB42">
            <v>19.5</v>
          </cell>
          <cell r="AC42">
            <v>82.16</v>
          </cell>
        </row>
        <row r="43">
          <cell r="AA43">
            <v>40</v>
          </cell>
          <cell r="AB43">
            <v>20</v>
          </cell>
          <cell r="AC43">
            <v>81.72</v>
          </cell>
        </row>
        <row r="44">
          <cell r="AA44">
            <v>41</v>
          </cell>
          <cell r="AB44">
            <v>20.5</v>
          </cell>
          <cell r="AC44">
            <v>81.27</v>
          </cell>
        </row>
        <row r="45">
          <cell r="AA45">
            <v>42</v>
          </cell>
          <cell r="AB45">
            <v>21</v>
          </cell>
          <cell r="AC45">
            <v>80.819999999999993</v>
          </cell>
        </row>
        <row r="46">
          <cell r="AA46">
            <v>43</v>
          </cell>
          <cell r="AB46">
            <v>21.5</v>
          </cell>
          <cell r="AC46">
            <v>80.38</v>
          </cell>
        </row>
        <row r="47">
          <cell r="AA47">
            <v>44</v>
          </cell>
          <cell r="AB47">
            <v>22</v>
          </cell>
          <cell r="AC47">
            <v>79.930000000000007</v>
          </cell>
        </row>
        <row r="48">
          <cell r="AA48">
            <v>45</v>
          </cell>
          <cell r="AB48">
            <v>22.5</v>
          </cell>
          <cell r="AC48">
            <v>79.48</v>
          </cell>
        </row>
        <row r="49">
          <cell r="AA49">
            <v>46</v>
          </cell>
          <cell r="AB49">
            <v>23</v>
          </cell>
          <cell r="AC49">
            <v>79.03</v>
          </cell>
        </row>
        <row r="50">
          <cell r="AA50">
            <v>47</v>
          </cell>
          <cell r="AB50">
            <v>23.5</v>
          </cell>
          <cell r="AC50">
            <v>78.58</v>
          </cell>
        </row>
        <row r="51">
          <cell r="AA51">
            <v>48</v>
          </cell>
          <cell r="AB51">
            <v>24</v>
          </cell>
          <cell r="AC51">
            <v>78.14</v>
          </cell>
        </row>
        <row r="52">
          <cell r="AA52">
            <v>49</v>
          </cell>
          <cell r="AB52">
            <v>24.5</v>
          </cell>
          <cell r="AC52">
            <v>77.69</v>
          </cell>
        </row>
        <row r="53">
          <cell r="AA53">
            <v>50</v>
          </cell>
          <cell r="AB53">
            <v>25</v>
          </cell>
          <cell r="AC53">
            <v>77.239999999999995</v>
          </cell>
        </row>
        <row r="54">
          <cell r="AA54">
            <v>51</v>
          </cell>
          <cell r="AB54">
            <v>25.5</v>
          </cell>
          <cell r="AC54">
            <v>76.790000000000006</v>
          </cell>
        </row>
        <row r="55">
          <cell r="AA55">
            <v>52</v>
          </cell>
          <cell r="AB55">
            <v>26</v>
          </cell>
          <cell r="AC55">
            <v>76.34</v>
          </cell>
        </row>
        <row r="56">
          <cell r="AA56">
            <v>53</v>
          </cell>
          <cell r="AB56">
            <v>26.5</v>
          </cell>
          <cell r="AC56">
            <v>75.89</v>
          </cell>
        </row>
        <row r="57">
          <cell r="AA57">
            <v>54</v>
          </cell>
          <cell r="AB57">
            <v>27</v>
          </cell>
          <cell r="AC57">
            <v>75.44</v>
          </cell>
        </row>
        <row r="58">
          <cell r="AA58">
            <v>55</v>
          </cell>
          <cell r="AB58">
            <v>27.5</v>
          </cell>
          <cell r="AC58">
            <v>74.98</v>
          </cell>
        </row>
        <row r="59">
          <cell r="AA59">
            <v>56</v>
          </cell>
          <cell r="AB59">
            <v>28</v>
          </cell>
          <cell r="AC59">
            <v>74.53</v>
          </cell>
        </row>
        <row r="60">
          <cell r="AA60">
            <v>57</v>
          </cell>
          <cell r="AB60">
            <v>28.5</v>
          </cell>
          <cell r="AC60">
            <v>74.08</v>
          </cell>
        </row>
        <row r="61">
          <cell r="AA61">
            <v>58</v>
          </cell>
          <cell r="AB61">
            <v>29</v>
          </cell>
          <cell r="AC61">
            <v>73.62</v>
          </cell>
        </row>
        <row r="62">
          <cell r="AA62">
            <v>59</v>
          </cell>
          <cell r="AB62">
            <v>29.5</v>
          </cell>
          <cell r="AC62">
            <v>73.17</v>
          </cell>
        </row>
        <row r="63">
          <cell r="AA63">
            <v>60</v>
          </cell>
          <cell r="AB63">
            <v>30</v>
          </cell>
          <cell r="AC63">
            <v>72.72</v>
          </cell>
        </row>
        <row r="64">
          <cell r="AA64">
            <v>61</v>
          </cell>
          <cell r="AB64">
            <v>30.5</v>
          </cell>
          <cell r="AC64">
            <v>72.260000000000005</v>
          </cell>
        </row>
        <row r="65">
          <cell r="AA65">
            <v>62</v>
          </cell>
          <cell r="AB65">
            <v>31</v>
          </cell>
          <cell r="AC65">
            <v>71.81</v>
          </cell>
        </row>
        <row r="66">
          <cell r="AA66">
            <v>63</v>
          </cell>
          <cell r="AB66">
            <v>31.5</v>
          </cell>
          <cell r="AC66">
            <v>71.349999999999994</v>
          </cell>
        </row>
        <row r="67">
          <cell r="AA67">
            <v>64</v>
          </cell>
          <cell r="AB67">
            <v>32</v>
          </cell>
          <cell r="AC67">
            <v>70.89</v>
          </cell>
        </row>
        <row r="68">
          <cell r="AA68">
            <v>65</v>
          </cell>
          <cell r="AB68">
            <v>32.5</v>
          </cell>
          <cell r="AC68">
            <v>70.430000000000007</v>
          </cell>
        </row>
        <row r="69">
          <cell r="AA69">
            <v>66</v>
          </cell>
          <cell r="AB69">
            <v>33</v>
          </cell>
          <cell r="AC69">
            <v>69.97</v>
          </cell>
        </row>
        <row r="70">
          <cell r="AA70">
            <v>67</v>
          </cell>
          <cell r="AB70">
            <v>33.5</v>
          </cell>
          <cell r="AC70">
            <v>69.510000000000005</v>
          </cell>
        </row>
        <row r="71">
          <cell r="AA71">
            <v>68</v>
          </cell>
          <cell r="AB71">
            <v>34</v>
          </cell>
          <cell r="AC71">
            <v>69.05</v>
          </cell>
        </row>
        <row r="72">
          <cell r="AA72">
            <v>69</v>
          </cell>
          <cell r="AB72">
            <v>34.5</v>
          </cell>
          <cell r="AC72">
            <v>68.59</v>
          </cell>
        </row>
        <row r="73">
          <cell r="AA73">
            <v>70</v>
          </cell>
          <cell r="AB73">
            <v>35</v>
          </cell>
          <cell r="AC73">
            <v>68.12</v>
          </cell>
        </row>
        <row r="74">
          <cell r="AA74">
            <v>71</v>
          </cell>
          <cell r="AB74">
            <v>35.5</v>
          </cell>
          <cell r="AC74">
            <v>67.66</v>
          </cell>
        </row>
        <row r="75">
          <cell r="AA75">
            <v>72</v>
          </cell>
          <cell r="AB75">
            <v>36</v>
          </cell>
          <cell r="AC75">
            <v>67.19</v>
          </cell>
        </row>
        <row r="76">
          <cell r="AA76">
            <v>73</v>
          </cell>
          <cell r="AB76">
            <v>36.5</v>
          </cell>
          <cell r="AC76">
            <v>66.72</v>
          </cell>
        </row>
        <row r="77">
          <cell r="AA77">
            <v>74</v>
          </cell>
          <cell r="AB77">
            <v>37</v>
          </cell>
          <cell r="AC77">
            <v>66.25</v>
          </cell>
        </row>
        <row r="78">
          <cell r="AA78">
            <v>75</v>
          </cell>
          <cell r="AB78">
            <v>37.5</v>
          </cell>
          <cell r="AC78">
            <v>65.78</v>
          </cell>
        </row>
        <row r="79">
          <cell r="AA79">
            <v>76</v>
          </cell>
          <cell r="AB79">
            <v>38</v>
          </cell>
          <cell r="AC79">
            <v>65.31</v>
          </cell>
        </row>
        <row r="80">
          <cell r="AA80">
            <v>77</v>
          </cell>
          <cell r="AB80">
            <v>38.5</v>
          </cell>
          <cell r="AC80">
            <v>64.84</v>
          </cell>
        </row>
        <row r="81">
          <cell r="AA81">
            <v>78</v>
          </cell>
          <cell r="AB81">
            <v>39</v>
          </cell>
          <cell r="AC81">
            <v>64.37</v>
          </cell>
        </row>
        <row r="82">
          <cell r="AA82">
            <v>79</v>
          </cell>
          <cell r="AB82">
            <v>39.5</v>
          </cell>
          <cell r="AC82">
            <v>63.9</v>
          </cell>
        </row>
        <row r="83">
          <cell r="AA83">
            <v>80</v>
          </cell>
          <cell r="AB83">
            <v>40</v>
          </cell>
          <cell r="AC83">
            <v>63.42</v>
          </cell>
        </row>
        <row r="84">
          <cell r="AA84">
            <v>81</v>
          </cell>
          <cell r="AB84">
            <v>40.5</v>
          </cell>
          <cell r="AC84">
            <v>62.95</v>
          </cell>
        </row>
        <row r="85">
          <cell r="AA85">
            <v>82</v>
          </cell>
          <cell r="AB85">
            <v>41</v>
          </cell>
          <cell r="AC85">
            <v>62.47</v>
          </cell>
        </row>
        <row r="86">
          <cell r="AA86">
            <v>83</v>
          </cell>
          <cell r="AB86">
            <v>41.5</v>
          </cell>
          <cell r="AC86">
            <v>61.99</v>
          </cell>
        </row>
        <row r="87">
          <cell r="AA87">
            <v>84</v>
          </cell>
          <cell r="AB87">
            <v>42</v>
          </cell>
          <cell r="AC87">
            <v>61.52</v>
          </cell>
        </row>
        <row r="88">
          <cell r="AA88">
            <v>85</v>
          </cell>
          <cell r="AB88">
            <v>42.5</v>
          </cell>
          <cell r="AC88">
            <v>61.04</v>
          </cell>
        </row>
        <row r="89">
          <cell r="AA89">
            <v>86</v>
          </cell>
          <cell r="AB89">
            <v>43</v>
          </cell>
          <cell r="AC89">
            <v>60.56</v>
          </cell>
        </row>
        <row r="90">
          <cell r="AA90">
            <v>87</v>
          </cell>
          <cell r="AB90">
            <v>43.5</v>
          </cell>
          <cell r="AC90">
            <v>60.08</v>
          </cell>
        </row>
        <row r="91">
          <cell r="AA91">
            <v>88</v>
          </cell>
          <cell r="AB91">
            <v>44</v>
          </cell>
          <cell r="AC91">
            <v>59.59</v>
          </cell>
        </row>
        <row r="92">
          <cell r="AA92">
            <v>89</v>
          </cell>
          <cell r="AB92">
            <v>44.5</v>
          </cell>
          <cell r="AC92">
            <v>59.11</v>
          </cell>
        </row>
        <row r="93">
          <cell r="AA93">
            <v>90</v>
          </cell>
          <cell r="AB93">
            <v>45</v>
          </cell>
          <cell r="AC93">
            <v>58.63</v>
          </cell>
        </row>
        <row r="94">
          <cell r="AA94">
            <v>91</v>
          </cell>
          <cell r="AB94">
            <v>45.5</v>
          </cell>
          <cell r="AC94">
            <v>58.14</v>
          </cell>
        </row>
        <row r="95">
          <cell r="AA95">
            <v>92</v>
          </cell>
          <cell r="AB95">
            <v>46</v>
          </cell>
          <cell r="AC95">
            <v>57.66</v>
          </cell>
        </row>
        <row r="96">
          <cell r="AA96">
            <v>93</v>
          </cell>
          <cell r="AB96">
            <v>46.5</v>
          </cell>
          <cell r="AC96">
            <v>57.17</v>
          </cell>
        </row>
        <row r="97">
          <cell r="AA97">
            <v>94</v>
          </cell>
          <cell r="AB97">
            <v>47</v>
          </cell>
          <cell r="AC97">
            <v>56.68</v>
          </cell>
        </row>
        <row r="98">
          <cell r="AA98">
            <v>95</v>
          </cell>
          <cell r="AB98">
            <v>47.5</v>
          </cell>
          <cell r="AC98">
            <v>56.19</v>
          </cell>
        </row>
        <row r="99">
          <cell r="AA99">
            <v>96</v>
          </cell>
          <cell r="AB99">
            <v>48</v>
          </cell>
          <cell r="AC99">
            <v>55.7</v>
          </cell>
        </row>
        <row r="100">
          <cell r="AA100">
            <v>97</v>
          </cell>
          <cell r="AB100">
            <v>48.5</v>
          </cell>
          <cell r="AC100">
            <v>55.21</v>
          </cell>
        </row>
        <row r="101">
          <cell r="AA101">
            <v>98</v>
          </cell>
          <cell r="AB101">
            <v>49</v>
          </cell>
          <cell r="AC101">
            <v>54.72</v>
          </cell>
        </row>
        <row r="102">
          <cell r="AA102">
            <v>99</v>
          </cell>
          <cell r="AB102">
            <v>49.5</v>
          </cell>
          <cell r="AC102">
            <v>54.22</v>
          </cell>
        </row>
        <row r="103">
          <cell r="AA103">
            <v>100</v>
          </cell>
          <cell r="AB103">
            <v>50</v>
          </cell>
          <cell r="AC103">
            <v>53.73</v>
          </cell>
        </row>
        <row r="104">
          <cell r="AA104">
            <v>101</v>
          </cell>
          <cell r="AB104">
            <v>50.5</v>
          </cell>
          <cell r="AC104">
            <v>53.24</v>
          </cell>
        </row>
        <row r="105">
          <cell r="AA105">
            <v>102</v>
          </cell>
          <cell r="AB105">
            <v>51</v>
          </cell>
          <cell r="AC105">
            <v>52.74</v>
          </cell>
        </row>
        <row r="106">
          <cell r="AA106">
            <v>103</v>
          </cell>
          <cell r="AB106">
            <v>51.5</v>
          </cell>
          <cell r="AC106">
            <v>52.25</v>
          </cell>
        </row>
        <row r="107">
          <cell r="AA107">
            <v>104</v>
          </cell>
          <cell r="AB107">
            <v>52</v>
          </cell>
          <cell r="AC107">
            <v>51.75</v>
          </cell>
        </row>
        <row r="108">
          <cell r="AA108">
            <v>105</v>
          </cell>
          <cell r="AB108">
            <v>52.5</v>
          </cell>
          <cell r="AC108">
            <v>51.25</v>
          </cell>
        </row>
        <row r="109">
          <cell r="AA109">
            <v>106</v>
          </cell>
          <cell r="AB109">
            <v>53</v>
          </cell>
          <cell r="AC109">
            <v>50.75</v>
          </cell>
        </row>
        <row r="110">
          <cell r="AA110">
            <v>107</v>
          </cell>
          <cell r="AB110">
            <v>53.5</v>
          </cell>
          <cell r="AC110">
            <v>50.26</v>
          </cell>
        </row>
        <row r="111">
          <cell r="AA111">
            <v>108</v>
          </cell>
          <cell r="AB111">
            <v>54</v>
          </cell>
          <cell r="AC111">
            <v>49.76</v>
          </cell>
        </row>
        <row r="112">
          <cell r="AA112">
            <v>109</v>
          </cell>
          <cell r="AB112">
            <v>54.5</v>
          </cell>
          <cell r="AC112">
            <v>49.26</v>
          </cell>
        </row>
        <row r="113">
          <cell r="AA113">
            <v>110</v>
          </cell>
          <cell r="AB113">
            <v>55</v>
          </cell>
          <cell r="AC113">
            <v>48.76</v>
          </cell>
        </row>
        <row r="114">
          <cell r="AA114">
            <v>111</v>
          </cell>
          <cell r="AB114">
            <v>55.5</v>
          </cell>
          <cell r="AC114">
            <v>48.25</v>
          </cell>
        </row>
        <row r="115">
          <cell r="AA115">
            <v>112</v>
          </cell>
          <cell r="AB115">
            <v>56</v>
          </cell>
          <cell r="AC115">
            <v>47.75</v>
          </cell>
        </row>
        <row r="116">
          <cell r="AA116">
            <v>113</v>
          </cell>
          <cell r="AB116">
            <v>56.5</v>
          </cell>
          <cell r="AC116">
            <v>47.25</v>
          </cell>
        </row>
        <row r="117">
          <cell r="AA117">
            <v>114</v>
          </cell>
          <cell r="AB117">
            <v>57</v>
          </cell>
          <cell r="AC117">
            <v>46.75</v>
          </cell>
        </row>
        <row r="118">
          <cell r="AA118">
            <v>115</v>
          </cell>
          <cell r="AB118">
            <v>57.5</v>
          </cell>
          <cell r="AC118">
            <v>46.24</v>
          </cell>
        </row>
        <row r="119">
          <cell r="AA119">
            <v>116</v>
          </cell>
          <cell r="AB119">
            <v>58</v>
          </cell>
          <cell r="AC119">
            <v>45.74</v>
          </cell>
        </row>
        <row r="120">
          <cell r="AA120">
            <v>117</v>
          </cell>
          <cell r="AB120">
            <v>58.5</v>
          </cell>
          <cell r="AC120">
            <v>45.23</v>
          </cell>
        </row>
        <row r="121">
          <cell r="AA121">
            <v>118</v>
          </cell>
          <cell r="AB121">
            <v>59</v>
          </cell>
          <cell r="AC121">
            <v>44.72</v>
          </cell>
        </row>
        <row r="122">
          <cell r="AA122">
            <v>119</v>
          </cell>
          <cell r="AB122">
            <v>59.5</v>
          </cell>
          <cell r="AC122">
            <v>44.22</v>
          </cell>
        </row>
        <row r="123">
          <cell r="AA123">
            <v>120</v>
          </cell>
          <cell r="AB123">
            <v>60</v>
          </cell>
          <cell r="AC123">
            <v>43.71</v>
          </cell>
        </row>
        <row r="124">
          <cell r="AA124">
            <v>121</v>
          </cell>
          <cell r="AB124">
            <v>60.5</v>
          </cell>
          <cell r="AC124">
            <v>43.2</v>
          </cell>
        </row>
        <row r="125">
          <cell r="AA125">
            <v>122</v>
          </cell>
          <cell r="AB125">
            <v>61</v>
          </cell>
          <cell r="AC125">
            <v>42.69</v>
          </cell>
        </row>
        <row r="126">
          <cell r="AA126">
            <v>123</v>
          </cell>
          <cell r="AB126">
            <v>61.5</v>
          </cell>
          <cell r="AC126">
            <v>42.18</v>
          </cell>
        </row>
        <row r="127">
          <cell r="AA127">
            <v>124</v>
          </cell>
          <cell r="AB127">
            <v>62</v>
          </cell>
          <cell r="AC127">
            <v>41.67</v>
          </cell>
        </row>
        <row r="128">
          <cell r="AA128">
            <v>125</v>
          </cell>
          <cell r="AB128">
            <v>62.5</v>
          </cell>
          <cell r="AC128">
            <v>41.16</v>
          </cell>
        </row>
        <row r="129">
          <cell r="AA129">
            <v>126</v>
          </cell>
          <cell r="AB129">
            <v>63</v>
          </cell>
          <cell r="AC129">
            <v>40.65</v>
          </cell>
        </row>
        <row r="130">
          <cell r="AA130">
            <v>127</v>
          </cell>
          <cell r="AB130">
            <v>63.5</v>
          </cell>
          <cell r="AC130">
            <v>40.14</v>
          </cell>
        </row>
        <row r="131">
          <cell r="AA131">
            <v>128</v>
          </cell>
          <cell r="AB131">
            <v>64</v>
          </cell>
          <cell r="AC131">
            <v>39.619999999999997</v>
          </cell>
        </row>
        <row r="132">
          <cell r="AA132">
            <v>129</v>
          </cell>
          <cell r="AB132">
            <v>64.5</v>
          </cell>
          <cell r="AC132">
            <v>39.11</v>
          </cell>
        </row>
        <row r="133">
          <cell r="AA133">
            <v>130</v>
          </cell>
          <cell r="AB133">
            <v>65</v>
          </cell>
          <cell r="AC133">
            <v>38.6</v>
          </cell>
        </row>
        <row r="134">
          <cell r="AA134">
            <v>131</v>
          </cell>
          <cell r="AB134">
            <v>65.5</v>
          </cell>
          <cell r="AC134">
            <v>38.08</v>
          </cell>
        </row>
        <row r="135">
          <cell r="AA135">
            <v>132</v>
          </cell>
          <cell r="AB135">
            <v>66</v>
          </cell>
          <cell r="AC135">
            <v>37.57</v>
          </cell>
        </row>
        <row r="136">
          <cell r="AA136">
            <v>133</v>
          </cell>
          <cell r="AB136">
            <v>66.5</v>
          </cell>
          <cell r="AC136">
            <v>37.049999999999997</v>
          </cell>
        </row>
        <row r="137">
          <cell r="AA137">
            <v>134</v>
          </cell>
          <cell r="AB137">
            <v>67</v>
          </cell>
          <cell r="AC137">
            <v>36.54</v>
          </cell>
        </row>
        <row r="138">
          <cell r="AA138">
            <v>135</v>
          </cell>
          <cell r="AB138">
            <v>67.5</v>
          </cell>
          <cell r="AC138">
            <v>36.020000000000003</v>
          </cell>
        </row>
        <row r="139">
          <cell r="AA139">
            <v>136</v>
          </cell>
          <cell r="AB139">
            <v>68</v>
          </cell>
          <cell r="AC139">
            <v>35.5</v>
          </cell>
        </row>
        <row r="140">
          <cell r="AA140">
            <v>137</v>
          </cell>
          <cell r="AB140">
            <v>68.5</v>
          </cell>
          <cell r="AC140">
            <v>34.99</v>
          </cell>
        </row>
        <row r="141">
          <cell r="AA141">
            <v>138</v>
          </cell>
          <cell r="AB141">
            <v>69</v>
          </cell>
          <cell r="AC141">
            <v>34.47</v>
          </cell>
        </row>
        <row r="142">
          <cell r="AA142">
            <v>139</v>
          </cell>
          <cell r="AB142">
            <v>69.5</v>
          </cell>
          <cell r="AC142">
            <v>33.950000000000003</v>
          </cell>
        </row>
        <row r="143">
          <cell r="AA143">
            <v>140</v>
          </cell>
          <cell r="AB143">
            <v>70</v>
          </cell>
          <cell r="AC143">
            <v>33.43</v>
          </cell>
        </row>
        <row r="144">
          <cell r="AA144">
            <v>141</v>
          </cell>
          <cell r="AB144">
            <v>70.5</v>
          </cell>
          <cell r="AC144">
            <v>32.909999999999997</v>
          </cell>
        </row>
        <row r="145">
          <cell r="AA145">
            <v>142</v>
          </cell>
          <cell r="AB145">
            <v>71</v>
          </cell>
          <cell r="AC145">
            <v>32.380000000000003</v>
          </cell>
        </row>
        <row r="146">
          <cell r="AA146">
            <v>143</v>
          </cell>
          <cell r="AB146">
            <v>71.5</v>
          </cell>
          <cell r="AC146">
            <v>31.86</v>
          </cell>
        </row>
        <row r="147">
          <cell r="AA147">
            <v>144</v>
          </cell>
          <cell r="AB147">
            <v>72</v>
          </cell>
          <cell r="AC147">
            <v>31.34</v>
          </cell>
        </row>
        <row r="148">
          <cell r="AA148">
            <v>145</v>
          </cell>
          <cell r="AB148">
            <v>72.5</v>
          </cell>
          <cell r="AC148">
            <v>30.82</v>
          </cell>
        </row>
        <row r="149">
          <cell r="AA149">
            <v>146</v>
          </cell>
          <cell r="AB149">
            <v>73</v>
          </cell>
          <cell r="AC149">
            <v>30.29</v>
          </cell>
        </row>
        <row r="150">
          <cell r="AA150">
            <v>147</v>
          </cell>
          <cell r="AB150">
            <v>73.5</v>
          </cell>
          <cell r="AC150">
            <v>29.76</v>
          </cell>
        </row>
        <row r="151">
          <cell r="AA151">
            <v>148</v>
          </cell>
          <cell r="AB151">
            <v>74</v>
          </cell>
          <cell r="AC151">
            <v>29.24</v>
          </cell>
        </row>
        <row r="152">
          <cell r="AA152">
            <v>149</v>
          </cell>
          <cell r="AB152">
            <v>74.5</v>
          </cell>
          <cell r="AC152">
            <v>28.71</v>
          </cell>
        </row>
        <row r="153">
          <cell r="AA153">
            <v>150</v>
          </cell>
          <cell r="AB153">
            <v>75</v>
          </cell>
          <cell r="AC153">
            <v>28.19</v>
          </cell>
        </row>
        <row r="154">
          <cell r="AA154">
            <v>151</v>
          </cell>
          <cell r="AB154">
            <v>75.5</v>
          </cell>
          <cell r="AC154">
            <v>27.66</v>
          </cell>
        </row>
        <row r="155">
          <cell r="AA155">
            <v>152</v>
          </cell>
          <cell r="AB155">
            <v>76</v>
          </cell>
          <cell r="AC155">
            <v>27.13</v>
          </cell>
        </row>
        <row r="156">
          <cell r="AA156">
            <v>153</v>
          </cell>
          <cell r="AB156">
            <v>76.5</v>
          </cell>
          <cell r="AC156">
            <v>26.6</v>
          </cell>
        </row>
        <row r="157">
          <cell r="AA157">
            <v>154</v>
          </cell>
          <cell r="AB157">
            <v>77</v>
          </cell>
          <cell r="AC157">
            <v>26.07</v>
          </cell>
        </row>
        <row r="158">
          <cell r="AA158">
            <v>155</v>
          </cell>
          <cell r="AB158">
            <v>77.5</v>
          </cell>
          <cell r="AC158">
            <v>25.54</v>
          </cell>
        </row>
        <row r="159">
          <cell r="AA159">
            <v>156</v>
          </cell>
          <cell r="AB159">
            <v>78</v>
          </cell>
          <cell r="AC159">
            <v>25.01</v>
          </cell>
        </row>
        <row r="160">
          <cell r="AA160">
            <v>157</v>
          </cell>
          <cell r="AB160">
            <v>78.5</v>
          </cell>
          <cell r="AC160">
            <v>24.47</v>
          </cell>
        </row>
        <row r="161">
          <cell r="AA161">
            <v>158</v>
          </cell>
          <cell r="AB161">
            <v>79</v>
          </cell>
          <cell r="AC161">
            <v>23.94</v>
          </cell>
        </row>
        <row r="162">
          <cell r="AA162">
            <v>159</v>
          </cell>
          <cell r="AB162">
            <v>79.5</v>
          </cell>
          <cell r="AC162">
            <v>23.4</v>
          </cell>
        </row>
        <row r="163">
          <cell r="AA163">
            <v>160</v>
          </cell>
          <cell r="AB163">
            <v>80</v>
          </cell>
          <cell r="AC163">
            <v>22.87</v>
          </cell>
        </row>
        <row r="164">
          <cell r="AA164">
            <v>161</v>
          </cell>
          <cell r="AB164">
            <v>80.5</v>
          </cell>
          <cell r="AC164">
            <v>22.33</v>
          </cell>
        </row>
        <row r="165">
          <cell r="AA165">
            <v>162</v>
          </cell>
          <cell r="AB165">
            <v>81</v>
          </cell>
          <cell r="AC165">
            <v>21.8</v>
          </cell>
        </row>
        <row r="166">
          <cell r="AA166">
            <v>163</v>
          </cell>
          <cell r="AB166">
            <v>81.5</v>
          </cell>
          <cell r="AC166">
            <v>21.26</v>
          </cell>
        </row>
        <row r="167">
          <cell r="AA167">
            <v>164</v>
          </cell>
          <cell r="AB167">
            <v>82</v>
          </cell>
          <cell r="AC167">
            <v>20.72</v>
          </cell>
        </row>
        <row r="168">
          <cell r="AA168">
            <v>165</v>
          </cell>
          <cell r="AB168">
            <v>82.5</v>
          </cell>
          <cell r="AC168">
            <v>20.18</v>
          </cell>
        </row>
        <row r="169">
          <cell r="AA169">
            <v>166</v>
          </cell>
          <cell r="AB169">
            <v>83</v>
          </cell>
          <cell r="AC169">
            <v>19.64</v>
          </cell>
        </row>
        <row r="170">
          <cell r="AA170">
            <v>167</v>
          </cell>
          <cell r="AB170">
            <v>83.5</v>
          </cell>
          <cell r="AC170">
            <v>19.100000000000001</v>
          </cell>
        </row>
        <row r="171">
          <cell r="AA171">
            <v>168</v>
          </cell>
          <cell r="AB171">
            <v>84</v>
          </cell>
          <cell r="AC171">
            <v>18.55</v>
          </cell>
        </row>
        <row r="172">
          <cell r="AA172">
            <v>169</v>
          </cell>
          <cell r="AB172">
            <v>84.5</v>
          </cell>
          <cell r="AC172">
            <v>18.010000000000002</v>
          </cell>
        </row>
        <row r="173">
          <cell r="AA173">
            <v>170</v>
          </cell>
          <cell r="AB173">
            <v>85</v>
          </cell>
          <cell r="AC173">
            <v>17.46</v>
          </cell>
        </row>
        <row r="174">
          <cell r="AA174">
            <v>171</v>
          </cell>
          <cell r="AB174">
            <v>85.5</v>
          </cell>
          <cell r="AC174">
            <v>16.920000000000002</v>
          </cell>
        </row>
        <row r="175">
          <cell r="AA175">
            <v>172</v>
          </cell>
          <cell r="AB175">
            <v>86</v>
          </cell>
          <cell r="AC175">
            <v>16.37</v>
          </cell>
        </row>
        <row r="176">
          <cell r="AA176">
            <v>173</v>
          </cell>
          <cell r="AB176">
            <v>86.5</v>
          </cell>
          <cell r="AC176">
            <v>15.82</v>
          </cell>
        </row>
        <row r="177">
          <cell r="AA177">
            <v>174</v>
          </cell>
          <cell r="AB177">
            <v>87</v>
          </cell>
          <cell r="AC177">
            <v>15.27</v>
          </cell>
        </row>
        <row r="178">
          <cell r="AA178">
            <v>175</v>
          </cell>
          <cell r="AB178">
            <v>87.5</v>
          </cell>
          <cell r="AC178">
            <v>14.72</v>
          </cell>
        </row>
        <row r="179">
          <cell r="AA179">
            <v>176</v>
          </cell>
          <cell r="AB179">
            <v>88</v>
          </cell>
          <cell r="AC179">
            <v>14.16</v>
          </cell>
        </row>
        <row r="180">
          <cell r="AA180">
            <v>177</v>
          </cell>
          <cell r="AB180">
            <v>88.5</v>
          </cell>
          <cell r="AC180">
            <v>13.61</v>
          </cell>
        </row>
        <row r="181">
          <cell r="AA181">
            <v>178</v>
          </cell>
          <cell r="AB181">
            <v>89</v>
          </cell>
          <cell r="AC181">
            <v>13.05</v>
          </cell>
        </row>
        <row r="182">
          <cell r="AA182">
            <v>179</v>
          </cell>
          <cell r="AB182">
            <v>89.5</v>
          </cell>
          <cell r="AC182">
            <v>12.49</v>
          </cell>
        </row>
        <row r="183">
          <cell r="AA183">
            <v>180</v>
          </cell>
          <cell r="AB183">
            <v>90</v>
          </cell>
          <cell r="AC183">
            <v>11.98</v>
          </cell>
        </row>
        <row r="184">
          <cell r="AA184">
            <v>181</v>
          </cell>
          <cell r="AB184">
            <v>90.5</v>
          </cell>
          <cell r="AC184">
            <v>11.37</v>
          </cell>
        </row>
        <row r="185">
          <cell r="AA185">
            <v>182</v>
          </cell>
          <cell r="AB185">
            <v>91</v>
          </cell>
          <cell r="AC185">
            <v>10.8</v>
          </cell>
        </row>
        <row r="186">
          <cell r="AA186">
            <v>183</v>
          </cell>
          <cell r="AB186">
            <v>91.5</v>
          </cell>
          <cell r="AC186">
            <v>10.24</v>
          </cell>
        </row>
        <row r="187">
          <cell r="AA187">
            <v>184</v>
          </cell>
          <cell r="AB187">
            <v>92</v>
          </cell>
          <cell r="AC187">
            <v>9.67</v>
          </cell>
        </row>
        <row r="188">
          <cell r="AA188">
            <v>185</v>
          </cell>
          <cell r="AB188">
            <v>92.5</v>
          </cell>
          <cell r="AC188">
            <v>9.09</v>
          </cell>
        </row>
        <row r="189">
          <cell r="AA189">
            <v>186</v>
          </cell>
          <cell r="AB189">
            <v>93</v>
          </cell>
          <cell r="AC189">
            <v>8.52</v>
          </cell>
        </row>
        <row r="190">
          <cell r="AA190">
            <v>187</v>
          </cell>
          <cell r="AB190">
            <v>93.5</v>
          </cell>
          <cell r="AC190">
            <v>7.94</v>
          </cell>
        </row>
        <row r="191">
          <cell r="AA191">
            <v>188</v>
          </cell>
          <cell r="AB191">
            <v>94</v>
          </cell>
          <cell r="AC191">
            <v>7.36</v>
          </cell>
        </row>
        <row r="192">
          <cell r="AA192">
            <v>189</v>
          </cell>
          <cell r="AB192">
            <v>94.5</v>
          </cell>
          <cell r="AC192">
            <v>6.77</v>
          </cell>
        </row>
        <row r="193">
          <cell r="AA193">
            <v>190</v>
          </cell>
          <cell r="AB193">
            <v>95</v>
          </cell>
          <cell r="AC193">
            <v>6.18</v>
          </cell>
        </row>
        <row r="194">
          <cell r="AA194">
            <v>191</v>
          </cell>
          <cell r="AB194">
            <v>95.5</v>
          </cell>
          <cell r="AC194">
            <v>5.59</v>
          </cell>
        </row>
        <row r="195">
          <cell r="AA195">
            <v>192</v>
          </cell>
          <cell r="AB195">
            <v>96</v>
          </cell>
          <cell r="AC195">
            <v>4.99</v>
          </cell>
        </row>
        <row r="196">
          <cell r="AA196">
            <v>193</v>
          </cell>
          <cell r="AB196">
            <v>96.5</v>
          </cell>
          <cell r="AC196">
            <v>4.3899999999999997</v>
          </cell>
        </row>
        <row r="197">
          <cell r="AA197">
            <v>194</v>
          </cell>
          <cell r="AB197">
            <v>97</v>
          </cell>
          <cell r="AC197">
            <v>3.78</v>
          </cell>
        </row>
        <row r="198">
          <cell r="AA198">
            <v>195</v>
          </cell>
          <cell r="AB198">
            <v>97.5</v>
          </cell>
          <cell r="AC198">
            <v>3.17</v>
          </cell>
        </row>
        <row r="199">
          <cell r="AA199">
            <v>196</v>
          </cell>
          <cell r="AB199">
            <v>98</v>
          </cell>
          <cell r="AC199">
            <v>2.5499999999999998</v>
          </cell>
        </row>
        <row r="200">
          <cell r="AA200">
            <v>197</v>
          </cell>
          <cell r="AB200">
            <v>98.5</v>
          </cell>
          <cell r="AC200">
            <v>1.93</v>
          </cell>
        </row>
        <row r="201">
          <cell r="AA201">
            <v>198</v>
          </cell>
          <cell r="AB201">
            <v>99</v>
          </cell>
          <cell r="AC201">
            <v>1.29</v>
          </cell>
        </row>
        <row r="202">
          <cell r="AA202">
            <v>199</v>
          </cell>
          <cell r="AB202">
            <v>99.5</v>
          </cell>
          <cell r="AC202">
            <v>0.65</v>
          </cell>
        </row>
        <row r="203">
          <cell r="AA203">
            <v>200</v>
          </cell>
          <cell r="AB203">
            <v>100</v>
          </cell>
          <cell r="AC203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R2097"/>
  <sheetViews>
    <sheetView tabSelected="1" zoomScale="75" zoomScaleNormal="75" workbookViewId="0">
      <selection activeCell="G4" sqref="G4"/>
    </sheetView>
  </sheetViews>
  <sheetFormatPr defaultColWidth="8.7109375" defaultRowHeight="12.75" outlineLevelRow="1" outlineLevelCol="1" x14ac:dyDescent="0.2"/>
  <cols>
    <col min="1" max="1" width="18.85546875" customWidth="1"/>
    <col min="2" max="3" width="18.7109375" customWidth="1"/>
    <col min="4" max="4" width="14.85546875" customWidth="1"/>
    <col min="5" max="5" width="18.85546875" customWidth="1"/>
    <col min="6" max="6" width="15" customWidth="1"/>
    <col min="7" max="7" width="21.7109375" customWidth="1"/>
    <col min="8" max="9" width="18.5703125" customWidth="1"/>
    <col min="10" max="10" width="15.5703125" customWidth="1"/>
    <col min="11" max="11" width="16.7109375" customWidth="1"/>
    <col min="12" max="12" width="8.28515625" customWidth="1"/>
    <col min="13" max="13" width="12.7109375" hidden="1" customWidth="1" outlineLevel="1"/>
    <col min="14" max="14" width="13.5703125" hidden="1" customWidth="1" outlineLevel="1"/>
    <col min="15" max="15" width="24.42578125" hidden="1" customWidth="1" outlineLevel="1"/>
    <col min="16" max="16" width="13.42578125" hidden="1" customWidth="1" outlineLevel="1"/>
    <col min="17" max="17" width="14.7109375" hidden="1" customWidth="1" outlineLevel="1"/>
    <col min="18" max="18" width="8.42578125" style="2" hidden="1" customWidth="1" outlineLevel="1"/>
    <col min="19" max="19" width="15" hidden="1" customWidth="1" outlineLevel="1"/>
    <col min="20" max="20" width="11.5703125" hidden="1" customWidth="1" outlineLevel="1"/>
    <col min="21" max="21" width="12.42578125" hidden="1" customWidth="1" outlineLevel="1"/>
    <col min="22" max="22" width="11.7109375" hidden="1" customWidth="1" outlineLevel="1"/>
    <col min="23" max="23" width="7.7109375" hidden="1" customWidth="1" outlineLevel="1"/>
    <col min="24" max="24" width="11" hidden="1" customWidth="1" outlineLevel="1"/>
    <col min="25" max="25" width="7.7109375" hidden="1" customWidth="1" outlineLevel="1"/>
    <col min="26" max="26" width="11.28515625" hidden="1" customWidth="1" outlineLevel="1"/>
    <col min="27" max="27" width="9.140625" hidden="1" customWidth="1" outlineLevel="1"/>
    <col min="28" max="28" width="14.140625" hidden="1" customWidth="1" outlineLevel="1"/>
    <col min="29" max="29" width="11.7109375" hidden="1" customWidth="1" outlineLevel="1"/>
    <col min="30" max="30" width="3.28515625" hidden="1" customWidth="1" outlineLevel="1"/>
    <col min="31" max="31" width="10" hidden="1" customWidth="1" outlineLevel="1"/>
    <col min="32" max="32" width="11.140625" style="391" hidden="1" customWidth="1" outlineLevel="1"/>
    <col min="33" max="33" width="11.42578125" style="391" hidden="1" customWidth="1" outlineLevel="1"/>
    <col min="34" max="34" width="9.140625" hidden="1" customWidth="1" outlineLevel="1"/>
    <col min="35" max="35" width="13.7109375" style="3" hidden="1" customWidth="1" outlineLevel="1"/>
    <col min="36" max="36" width="11" style="3" hidden="1" customWidth="1" outlineLevel="1"/>
    <col min="37" max="43" width="9.140625" hidden="1" customWidth="1" outlineLevel="1"/>
    <col min="44" max="44" width="22" customWidth="1" collapsed="1"/>
  </cols>
  <sheetData>
    <row r="1" spans="1:36" ht="24.75" customHeight="1" x14ac:dyDescent="0.2">
      <c r="A1" s="906"/>
      <c r="B1" s="906"/>
      <c r="C1" s="907" t="s">
        <v>0</v>
      </c>
      <c r="D1" s="907"/>
      <c r="E1" s="907"/>
      <c r="F1" s="907"/>
      <c r="G1" s="907"/>
      <c r="H1" s="908" t="s">
        <v>1</v>
      </c>
      <c r="I1" s="908"/>
      <c r="J1" s="909"/>
      <c r="K1" s="909"/>
      <c r="L1" s="1"/>
    </row>
    <row r="2" spans="1:36" ht="24.75" customHeight="1" thickBot="1" x14ac:dyDescent="0.25">
      <c r="A2" s="714" t="s">
        <v>891</v>
      </c>
      <c r="B2" s="910"/>
      <c r="C2" s="910"/>
      <c r="D2" s="4" t="s">
        <v>893</v>
      </c>
      <c r="E2" s="5"/>
      <c r="F2" s="4" t="s">
        <v>895</v>
      </c>
      <c r="G2" s="6"/>
      <c r="H2" s="911"/>
      <c r="I2" s="911"/>
      <c r="J2" s="912" t="s">
        <v>599</v>
      </c>
      <c r="K2" s="912"/>
      <c r="L2" s="7"/>
      <c r="AA2" s="916" t="s">
        <v>5</v>
      </c>
      <c r="AB2" s="916"/>
      <c r="AC2" s="916"/>
      <c r="AD2" s="8"/>
      <c r="AE2" s="917" t="s">
        <v>2</v>
      </c>
      <c r="AF2" s="918" t="s">
        <v>3</v>
      </c>
      <c r="AG2" s="918" t="s">
        <v>4</v>
      </c>
    </row>
    <row r="3" spans="1:36" ht="26.25" customHeight="1" thickTop="1" x14ac:dyDescent="0.2">
      <c r="A3" s="715" t="s">
        <v>892</v>
      </c>
      <c r="B3" s="919"/>
      <c r="C3" s="919"/>
      <c r="D3" s="535" t="s">
        <v>894</v>
      </c>
      <c r="E3" s="536"/>
      <c r="F3" s="535" t="s">
        <v>896</v>
      </c>
      <c r="G3" s="537"/>
      <c r="H3" s="920"/>
      <c r="I3" s="920"/>
      <c r="J3" s="921"/>
      <c r="K3" s="921"/>
      <c r="L3" s="538"/>
      <c r="AA3" s="902" t="s">
        <v>6</v>
      </c>
      <c r="AB3" s="10" t="s">
        <v>7</v>
      </c>
      <c r="AC3" s="904" t="s">
        <v>8</v>
      </c>
      <c r="AD3" s="10"/>
      <c r="AE3" s="917"/>
      <c r="AF3" s="918"/>
      <c r="AG3" s="918"/>
    </row>
    <row r="4" spans="1:36" ht="24.75" customHeight="1" thickBot="1" x14ac:dyDescent="0.25">
      <c r="A4" s="539" t="s">
        <v>805</v>
      </c>
      <c r="B4" s="139"/>
      <c r="C4" s="139"/>
      <c r="D4" s="139"/>
      <c r="E4" s="139"/>
      <c r="F4" s="139"/>
      <c r="G4" s="139"/>
      <c r="H4" s="139"/>
      <c r="I4" s="534"/>
      <c r="J4" s="534"/>
      <c r="K4" s="534"/>
      <c r="L4" s="534"/>
      <c r="AA4" s="387">
        <v>0</v>
      </c>
      <c r="AB4" s="540">
        <v>0</v>
      </c>
      <c r="AC4" s="905">
        <v>100</v>
      </c>
      <c r="AD4" s="903"/>
      <c r="AE4" s="11">
        <v>1</v>
      </c>
      <c r="AF4" s="12">
        <v>1</v>
      </c>
      <c r="AG4" s="12">
        <v>1</v>
      </c>
    </row>
    <row r="5" spans="1:36" ht="21.75" customHeight="1" outlineLevel="1" thickBot="1" x14ac:dyDescent="0.25">
      <c r="A5" s="913" t="s">
        <v>9</v>
      </c>
      <c r="B5" s="913"/>
      <c r="C5" s="663"/>
      <c r="D5" s="670"/>
      <c r="E5" s="913" t="s">
        <v>9</v>
      </c>
      <c r="F5" s="913"/>
      <c r="H5" s="913" t="s">
        <v>10</v>
      </c>
      <c r="I5" s="913"/>
      <c r="J5" s="913"/>
      <c r="K5" s="913"/>
      <c r="L5" s="534"/>
      <c r="AA5" s="541">
        <v>1</v>
      </c>
      <c r="AB5" s="542">
        <v>0.5</v>
      </c>
      <c r="AC5" s="543">
        <v>99.53</v>
      </c>
      <c r="AD5" s="13"/>
      <c r="AE5" s="14">
        <v>0.99924999999999997</v>
      </c>
      <c r="AF5" s="12">
        <v>0.99906499999999998</v>
      </c>
      <c r="AG5" s="12">
        <v>0.99905500000000003</v>
      </c>
      <c r="AH5" s="9"/>
      <c r="AI5" s="913" t="s">
        <v>11</v>
      </c>
      <c r="AJ5" s="913"/>
    </row>
    <row r="6" spans="1:36" ht="45" customHeight="1" outlineLevel="1" thickTop="1" x14ac:dyDescent="0.2">
      <c r="A6" s="15" t="s">
        <v>12</v>
      </c>
      <c r="B6" s="15" t="s">
        <v>13</v>
      </c>
      <c r="C6" s="16" t="s">
        <v>14</v>
      </c>
      <c r="D6" s="17" t="s">
        <v>12</v>
      </c>
      <c r="E6" s="15" t="s">
        <v>15</v>
      </c>
      <c r="F6" s="16" t="s">
        <v>14</v>
      </c>
      <c r="H6" s="15" t="s">
        <v>12</v>
      </c>
      <c r="I6" s="18" t="s">
        <v>16</v>
      </c>
      <c r="J6" s="15" t="s">
        <v>17</v>
      </c>
      <c r="K6" s="16" t="s">
        <v>18</v>
      </c>
      <c r="L6" s="19"/>
      <c r="AA6" s="20">
        <v>2</v>
      </c>
      <c r="AB6" s="21">
        <v>1</v>
      </c>
      <c r="AC6" s="22">
        <v>99.06</v>
      </c>
      <c r="AD6" s="23"/>
      <c r="AE6" s="14">
        <v>0.99850000000000005</v>
      </c>
      <c r="AF6" s="12">
        <v>0.99812999999999996</v>
      </c>
      <c r="AG6" s="12">
        <v>0.99811000000000005</v>
      </c>
      <c r="AI6" s="900" t="s">
        <v>19</v>
      </c>
      <c r="AJ6" s="901" t="s">
        <v>20</v>
      </c>
    </row>
    <row r="7" spans="1:36" ht="18" customHeight="1" outlineLevel="1" x14ac:dyDescent="0.2">
      <c r="A7" s="24" t="s">
        <v>21</v>
      </c>
      <c r="B7" s="25">
        <v>26</v>
      </c>
      <c r="C7" s="26">
        <f t="shared" ref="C7:C12" si="0">IF(B7="","",(0.00002*B7^2)-(0.0667*B7)+25.245)</f>
        <v>23.524319999999999</v>
      </c>
      <c r="D7" s="24" t="s">
        <v>22</v>
      </c>
      <c r="E7" s="25">
        <v>72</v>
      </c>
      <c r="F7" s="26">
        <f t="shared" ref="F7:F12" si="1">IF(E7="","",(0.00002*E7^2)-(0.0667*E7)+25.245)</f>
        <v>20.546280000000003</v>
      </c>
      <c r="H7" s="24" t="s">
        <v>21</v>
      </c>
      <c r="I7" s="27"/>
      <c r="J7" s="28"/>
      <c r="K7" s="510" t="str">
        <f>IF(I7="","",I7-J7)</f>
        <v/>
      </c>
      <c r="L7" s="29"/>
      <c r="AA7" s="20">
        <v>3</v>
      </c>
      <c r="AB7" s="21">
        <v>1.5</v>
      </c>
      <c r="AC7" s="22">
        <v>98.58</v>
      </c>
      <c r="AD7" s="23"/>
      <c r="AE7" s="14">
        <v>0.99775999999999998</v>
      </c>
      <c r="AF7" s="12">
        <v>0.99721000000000004</v>
      </c>
      <c r="AG7" s="12">
        <v>0.99719000000000002</v>
      </c>
      <c r="AI7" s="730">
        <v>1</v>
      </c>
      <c r="AJ7" s="731">
        <v>0</v>
      </c>
    </row>
    <row r="8" spans="1:36" ht="18" customHeight="1" outlineLevel="1" x14ac:dyDescent="0.25">
      <c r="A8" s="30" t="s">
        <v>22</v>
      </c>
      <c r="B8" s="25"/>
      <c r="C8" s="26" t="str">
        <f t="shared" si="0"/>
        <v/>
      </c>
      <c r="D8" s="30" t="s">
        <v>806</v>
      </c>
      <c r="E8" s="25">
        <v>27</v>
      </c>
      <c r="F8" s="26">
        <f t="shared" si="1"/>
        <v>23.458680000000001</v>
      </c>
      <c r="H8" s="30" t="s">
        <v>22</v>
      </c>
      <c r="I8" s="27"/>
      <c r="J8" s="27"/>
      <c r="K8" s="510" t="str">
        <f>IF(I8="","",I8-J8)</f>
        <v/>
      </c>
      <c r="L8" s="29"/>
      <c r="AA8" s="20">
        <v>4</v>
      </c>
      <c r="AB8" s="21">
        <v>2</v>
      </c>
      <c r="AC8" s="22">
        <v>98.12</v>
      </c>
      <c r="AD8" s="23"/>
      <c r="AE8" s="14">
        <v>0.99702999999999997</v>
      </c>
      <c r="AF8" s="12">
        <v>0.99629000000000001</v>
      </c>
      <c r="AG8" s="12">
        <v>0.99626999999999999</v>
      </c>
      <c r="AI8" s="730">
        <v>0.99990000000000001</v>
      </c>
      <c r="AJ8" s="731">
        <v>7.0000000000000007E-2</v>
      </c>
    </row>
    <row r="9" spans="1:36" ht="18" customHeight="1" outlineLevel="1" x14ac:dyDescent="0.2">
      <c r="A9" s="24" t="s">
        <v>23</v>
      </c>
      <c r="B9" s="25"/>
      <c r="C9" s="26" t="str">
        <f t="shared" si="0"/>
        <v/>
      </c>
      <c r="D9" s="24" t="s">
        <v>807</v>
      </c>
      <c r="E9" s="25">
        <v>203</v>
      </c>
      <c r="F9" s="26">
        <f t="shared" si="1"/>
        <v>12.529080000000002</v>
      </c>
      <c r="H9" s="24" t="s">
        <v>23</v>
      </c>
      <c r="I9" s="27"/>
      <c r="J9" s="27"/>
      <c r="K9" s="510" t="str">
        <f>IF(I9="","",I9-J9)</f>
        <v/>
      </c>
      <c r="L9" s="29"/>
      <c r="AA9" s="20">
        <v>5</v>
      </c>
      <c r="AB9" s="21">
        <v>2.5</v>
      </c>
      <c r="AC9" s="22">
        <v>97.65</v>
      </c>
      <c r="AD9" s="23"/>
      <c r="AE9" s="14">
        <v>0.99629999999999996</v>
      </c>
      <c r="AF9" s="12">
        <v>0.99539999999999995</v>
      </c>
      <c r="AG9" s="12">
        <v>0.99536999999999998</v>
      </c>
      <c r="AI9" s="730">
        <v>0.99980000000000002</v>
      </c>
      <c r="AJ9" s="731">
        <v>0.13</v>
      </c>
    </row>
    <row r="10" spans="1:36" ht="18" customHeight="1" outlineLevel="1" x14ac:dyDescent="0.25">
      <c r="A10" s="30" t="s">
        <v>807</v>
      </c>
      <c r="B10" s="25"/>
      <c r="C10" s="26" t="str">
        <f t="shared" si="0"/>
        <v/>
      </c>
      <c r="D10" s="30"/>
      <c r="E10" s="25"/>
      <c r="F10" s="26" t="str">
        <f t="shared" si="1"/>
        <v/>
      </c>
      <c r="G10" s="31"/>
      <c r="H10" s="30" t="s">
        <v>807</v>
      </c>
      <c r="I10" s="27"/>
      <c r="J10" s="27"/>
      <c r="K10" s="510" t="str">
        <f>IF(I10="","",I10-J10)</f>
        <v/>
      </c>
      <c r="L10" s="29"/>
      <c r="AA10" s="20">
        <v>6</v>
      </c>
      <c r="AB10" s="21">
        <v>3</v>
      </c>
      <c r="AC10" s="22">
        <v>97.18</v>
      </c>
      <c r="AD10" s="23"/>
      <c r="AE10" s="14">
        <v>0.99590000000000001</v>
      </c>
      <c r="AF10" s="12">
        <v>0.99451000000000001</v>
      </c>
      <c r="AG10" s="12">
        <v>0.99446999999999997</v>
      </c>
      <c r="AI10" s="730">
        <v>0.99970000000000003</v>
      </c>
      <c r="AJ10" s="731">
        <v>0.2</v>
      </c>
    </row>
    <row r="11" spans="1:36" ht="18" customHeight="1" outlineLevel="1" x14ac:dyDescent="0.2">
      <c r="A11" s="24"/>
      <c r="B11" s="25"/>
      <c r="C11" s="26" t="str">
        <f t="shared" si="0"/>
        <v/>
      </c>
      <c r="D11" s="24"/>
      <c r="E11" s="25"/>
      <c r="F11" s="26" t="str">
        <f t="shared" si="1"/>
        <v/>
      </c>
      <c r="H11" s="24"/>
      <c r="I11" s="28"/>
      <c r="J11" s="27"/>
      <c r="K11" s="510" t="str">
        <f>IF(I11="","",I11-J11)</f>
        <v/>
      </c>
      <c r="L11" s="29"/>
      <c r="AA11" s="20">
        <v>7</v>
      </c>
      <c r="AB11" s="21">
        <v>3.5</v>
      </c>
      <c r="AC11" s="22">
        <v>96.71</v>
      </c>
      <c r="AD11" s="23"/>
      <c r="AE11" s="14">
        <v>0.99487999999999999</v>
      </c>
      <c r="AF11" s="12">
        <v>0.99365000000000003</v>
      </c>
      <c r="AG11" s="12">
        <v>0.99360499999999996</v>
      </c>
      <c r="AI11" s="730">
        <v>0.99960000000000004</v>
      </c>
      <c r="AJ11" s="731">
        <v>0.27</v>
      </c>
    </row>
    <row r="12" spans="1:36" ht="18" customHeight="1" outlineLevel="1" thickBot="1" x14ac:dyDescent="0.3">
      <c r="A12" s="30"/>
      <c r="B12" s="25"/>
      <c r="C12" s="26" t="str">
        <f t="shared" si="0"/>
        <v/>
      </c>
      <c r="D12" s="32"/>
      <c r="E12" s="25"/>
      <c r="F12" s="26" t="str">
        <f t="shared" si="1"/>
        <v/>
      </c>
      <c r="H12" s="30"/>
      <c r="I12" s="28"/>
      <c r="J12" s="28"/>
      <c r="K12" s="510" t="str">
        <f>IF(I12="","",I12-I13)</f>
        <v/>
      </c>
      <c r="L12" s="29"/>
      <c r="AA12" s="20">
        <v>8</v>
      </c>
      <c r="AB12" s="21">
        <v>4</v>
      </c>
      <c r="AC12" s="22">
        <v>96.24</v>
      </c>
      <c r="AD12" s="23"/>
      <c r="AE12" s="14">
        <v>0.99419000000000002</v>
      </c>
      <c r="AF12" s="12">
        <v>0.99278999999999995</v>
      </c>
      <c r="AG12" s="12">
        <v>0.99273999999999996</v>
      </c>
      <c r="AI12" s="730">
        <v>0.99950000000000006</v>
      </c>
      <c r="AJ12" s="731">
        <v>0.33</v>
      </c>
    </row>
    <row r="13" spans="1:36" ht="18" customHeight="1" outlineLevel="1" thickTop="1" x14ac:dyDescent="0.2">
      <c r="A13" s="914" t="s">
        <v>24</v>
      </c>
      <c r="B13" s="914"/>
      <c r="C13" s="33">
        <f>SUM(C7:C12)</f>
        <v>23.524319999999999</v>
      </c>
      <c r="D13" s="915" t="s">
        <v>25</v>
      </c>
      <c r="E13" s="915"/>
      <c r="F13" s="33">
        <f>SUM(F7:F9)</f>
        <v>56.534040000000005</v>
      </c>
      <c r="I13" s="545"/>
      <c r="J13" s="546" t="s">
        <v>26</v>
      </c>
      <c r="K13" s="33">
        <f>SUM(K7:K12)</f>
        <v>0</v>
      </c>
      <c r="L13" s="29"/>
      <c r="AA13" s="20">
        <v>9</v>
      </c>
      <c r="AB13" s="21">
        <v>4.5</v>
      </c>
      <c r="AC13" s="22">
        <v>95.78</v>
      </c>
      <c r="AD13" s="23"/>
      <c r="AE13" s="14">
        <v>0.99350000000000005</v>
      </c>
      <c r="AF13" s="12">
        <v>0.99195999999999995</v>
      </c>
      <c r="AG13" s="12">
        <v>0.9919</v>
      </c>
      <c r="AI13" s="730">
        <v>0.99939999999999996</v>
      </c>
      <c r="AJ13" s="731">
        <v>0.4</v>
      </c>
    </row>
    <row r="14" spans="1:36" ht="18" customHeight="1" x14ac:dyDescent="0.25">
      <c r="A14" s="100"/>
      <c r="B14" s="100"/>
      <c r="C14" s="100"/>
      <c r="D14" s="100"/>
      <c r="E14" s="100"/>
      <c r="F14" s="100"/>
      <c r="G14" s="100"/>
      <c r="H14" s="100"/>
      <c r="I14" s="35"/>
      <c r="J14" s="35"/>
      <c r="K14" s="35"/>
      <c r="L14" s="35"/>
      <c r="N14" s="926" t="s">
        <v>29</v>
      </c>
      <c r="O14" s="927"/>
      <c r="AA14" s="20">
        <v>10</v>
      </c>
      <c r="AB14" s="21">
        <v>5</v>
      </c>
      <c r="AC14" s="22">
        <v>95.31</v>
      </c>
      <c r="AD14" s="23"/>
      <c r="AE14" s="14">
        <v>0.99282000000000004</v>
      </c>
      <c r="AF14" s="12">
        <v>0.99112999999999996</v>
      </c>
      <c r="AG14" s="12">
        <v>0.99106000000000005</v>
      </c>
      <c r="AI14" s="730">
        <v>0.99929999999999997</v>
      </c>
      <c r="AJ14" s="731">
        <v>0.47</v>
      </c>
    </row>
    <row r="15" spans="1:36" ht="20.25" customHeight="1" thickBot="1" x14ac:dyDescent="0.25">
      <c r="A15" s="928" t="s">
        <v>27</v>
      </c>
      <c r="B15" s="928"/>
      <c r="C15" s="928"/>
      <c r="D15" s="928"/>
      <c r="E15" s="928"/>
      <c r="F15" s="928"/>
      <c r="G15" s="34" t="s">
        <v>28</v>
      </c>
      <c r="H15" s="929" t="s">
        <v>29</v>
      </c>
      <c r="I15" s="929"/>
      <c r="J15" s="929"/>
      <c r="K15" s="929"/>
      <c r="L15" s="547"/>
      <c r="N15" s="548">
        <f>INDEX(O34:O36,MATCH($H$17,N34:N36,0))</f>
        <v>2</v>
      </c>
      <c r="O15" s="549" t="s">
        <v>36</v>
      </c>
      <c r="AA15" s="20">
        <v>11</v>
      </c>
      <c r="AB15" s="21">
        <v>5.5</v>
      </c>
      <c r="AC15" s="22">
        <v>94.85</v>
      </c>
      <c r="AD15" s="23"/>
      <c r="AE15" s="14">
        <v>0.99214999999999998</v>
      </c>
      <c r="AF15" s="12">
        <v>0.99034</v>
      </c>
      <c r="AG15" s="12">
        <v>0.990255</v>
      </c>
      <c r="AI15" s="730">
        <v>0.99919999999999998</v>
      </c>
      <c r="AJ15" s="731">
        <v>0.54</v>
      </c>
    </row>
    <row r="16" spans="1:36" ht="20.25" customHeight="1" thickTop="1" thickBot="1" x14ac:dyDescent="0.25">
      <c r="A16" s="930" t="s">
        <v>30</v>
      </c>
      <c r="B16" s="931" t="s">
        <v>31</v>
      </c>
      <c r="C16" s="932" t="s">
        <v>32</v>
      </c>
      <c r="D16" s="930" t="s">
        <v>33</v>
      </c>
      <c r="E16" s="933" t="s">
        <v>34</v>
      </c>
      <c r="F16" s="933" t="s">
        <v>35</v>
      </c>
      <c r="H16" s="550" t="s">
        <v>36</v>
      </c>
      <c r="I16" s="550" t="s">
        <v>37</v>
      </c>
      <c r="J16" s="550" t="s">
        <v>38</v>
      </c>
      <c r="K16" s="551" t="s">
        <v>39</v>
      </c>
      <c r="L16" s="552"/>
      <c r="N16" s="548">
        <f>INDEX(O30:O31,MATCH($I$17,N30:N31,0))</f>
        <v>1</v>
      </c>
      <c r="O16" s="549" t="s">
        <v>37</v>
      </c>
      <c r="R16" s="36"/>
      <c r="S16" s="34"/>
      <c r="T16" s="37"/>
      <c r="W16" s="524"/>
      <c r="X16" s="524"/>
      <c r="AA16" s="20">
        <v>12</v>
      </c>
      <c r="AB16" s="21">
        <v>6</v>
      </c>
      <c r="AC16" s="22">
        <v>94.39</v>
      </c>
      <c r="AD16" s="23"/>
      <c r="AE16" s="14">
        <v>0.99150000000000005</v>
      </c>
      <c r="AF16" s="12">
        <v>0.98955000000000004</v>
      </c>
      <c r="AG16" s="12">
        <v>0.98945000000000005</v>
      </c>
      <c r="AI16" s="730">
        <v>0.99909999999999999</v>
      </c>
      <c r="AJ16" s="732">
        <v>0.6</v>
      </c>
    </row>
    <row r="17" spans="1:38" ht="20.25" customHeight="1" thickTop="1" thickBot="1" x14ac:dyDescent="0.25">
      <c r="A17" s="930"/>
      <c r="B17" s="931"/>
      <c r="C17" s="932"/>
      <c r="D17" s="930"/>
      <c r="E17" s="933"/>
      <c r="F17" s="933"/>
      <c r="H17" s="553" t="s">
        <v>40</v>
      </c>
      <c r="I17" s="553" t="s">
        <v>41</v>
      </c>
      <c r="J17" s="553" t="s">
        <v>42</v>
      </c>
      <c r="K17" s="708">
        <v>3</v>
      </c>
      <c r="L17" s="554"/>
      <c r="N17" s="548">
        <f>INDEX(O25:O27,MATCH($J$17,N25:N27,0))</f>
        <v>3</v>
      </c>
      <c r="O17" s="549" t="s">
        <v>38</v>
      </c>
      <c r="R17" s="40" t="s">
        <v>47</v>
      </c>
      <c r="S17" s="41" t="s">
        <v>48</v>
      </c>
      <c r="T17" s="34"/>
      <c r="U17" s="37"/>
      <c r="W17" s="34"/>
      <c r="X17" s="42"/>
      <c r="AA17" s="20">
        <v>13</v>
      </c>
      <c r="AB17" s="21">
        <v>6.5</v>
      </c>
      <c r="AC17" s="22">
        <v>93.93</v>
      </c>
      <c r="AD17" s="23"/>
      <c r="AE17" s="14">
        <v>0.99087999999999998</v>
      </c>
      <c r="AF17" s="12">
        <v>0.98878500000000003</v>
      </c>
      <c r="AG17" s="12">
        <v>0.98866500000000002</v>
      </c>
      <c r="AI17" s="730">
        <v>0.999</v>
      </c>
      <c r="AJ17" s="731">
        <v>0.67</v>
      </c>
    </row>
    <row r="18" spans="1:38" ht="20.25" customHeight="1" thickTop="1" thickBot="1" x14ac:dyDescent="0.25">
      <c r="A18" s="930"/>
      <c r="B18" s="931"/>
      <c r="C18" s="932"/>
      <c r="D18" s="930"/>
      <c r="E18" s="933"/>
      <c r="F18" s="933"/>
      <c r="H18" s="555" t="s">
        <v>43</v>
      </c>
      <c r="I18" s="555" t="s">
        <v>44</v>
      </c>
      <c r="J18" s="38" t="s">
        <v>45</v>
      </c>
      <c r="K18" s="39" t="s">
        <v>46</v>
      </c>
      <c r="L18" s="50"/>
      <c r="N18" s="548">
        <f>IF(K17&gt;=3.2,1,3)</f>
        <v>3</v>
      </c>
      <c r="O18" s="549" t="s">
        <v>50</v>
      </c>
      <c r="R18" s="51">
        <v>22</v>
      </c>
      <c r="S18" s="52">
        <v>0.25</v>
      </c>
      <c r="T18" s="34"/>
      <c r="U18" s="37"/>
      <c r="W18" s="34"/>
      <c r="X18" s="42"/>
      <c r="AA18" s="20">
        <v>14</v>
      </c>
      <c r="AB18" s="21">
        <v>7</v>
      </c>
      <c r="AC18" s="22">
        <v>93.46</v>
      </c>
      <c r="AD18" s="23"/>
      <c r="AE18" s="14">
        <v>0.99021999999999999</v>
      </c>
      <c r="AF18" s="12">
        <v>0.98802000000000001</v>
      </c>
      <c r="AG18" s="12">
        <v>0.98787999999999998</v>
      </c>
      <c r="AI18" s="730">
        <v>0.99890000000000001</v>
      </c>
      <c r="AJ18" s="731">
        <v>0.74</v>
      </c>
    </row>
    <row r="19" spans="1:38" ht="19.5" customHeight="1" thickTop="1" thickBot="1" x14ac:dyDescent="0.25">
      <c r="A19" s="43" t="s">
        <v>341</v>
      </c>
      <c r="B19" s="44">
        <v>225</v>
      </c>
      <c r="C19" s="45">
        <f>B19*INDEX(P107:P123,MATCH($A$19,O107:O123,0))</f>
        <v>56.25</v>
      </c>
      <c r="D19" s="46">
        <v>21</v>
      </c>
      <c r="E19" s="47">
        <f>D19*INDEX(Q107:Q123,MATCH(A19,O107:O123,0))</f>
        <v>12.1737</v>
      </c>
      <c r="F19" s="48">
        <f>(C19/0.75)*0.9</f>
        <v>67.5</v>
      </c>
      <c r="H19" s="707">
        <v>19</v>
      </c>
      <c r="I19" s="707">
        <v>100</v>
      </c>
      <c r="J19" s="49">
        <f>(0.2378*N20-0.8686)/100</f>
        <v>1.4302839400000005E-2</v>
      </c>
      <c r="K19" s="39">
        <f>I19*J19</f>
        <v>1.4302839400000005</v>
      </c>
      <c r="L19" s="50"/>
      <c r="N19" s="556">
        <f>-0.3333*H19+7</f>
        <v>0.6673</v>
      </c>
      <c r="O19" s="549" t="s">
        <v>43</v>
      </c>
      <c r="R19" s="54">
        <v>23</v>
      </c>
      <c r="S19" s="55">
        <v>0.26500000000000001</v>
      </c>
      <c r="T19" s="34"/>
      <c r="U19" s="37"/>
      <c r="V19" s="56"/>
      <c r="W19" s="34"/>
      <c r="X19" s="57"/>
      <c r="AA19" s="20">
        <v>15</v>
      </c>
      <c r="AB19" s="21">
        <v>7.5</v>
      </c>
      <c r="AC19" s="22">
        <v>93.01</v>
      </c>
      <c r="AD19" s="23"/>
      <c r="AE19" s="14">
        <v>0.98960000000000004</v>
      </c>
      <c r="AF19" s="12">
        <v>0.98727500000000001</v>
      </c>
      <c r="AG19" s="12">
        <v>0.98711000000000004</v>
      </c>
      <c r="AI19" s="730">
        <v>0.99880000000000002</v>
      </c>
      <c r="AJ19" s="731">
        <v>0.81</v>
      </c>
    </row>
    <row r="20" spans="1:38" ht="15.75" customHeight="1" thickTop="1" x14ac:dyDescent="0.2">
      <c r="A20" s="99"/>
      <c r="B20" s="275"/>
      <c r="C20" s="275"/>
      <c r="D20" s="275"/>
      <c r="E20" s="557"/>
      <c r="F20" s="557"/>
      <c r="H20" s="558"/>
      <c r="I20" s="558"/>
      <c r="J20" s="558"/>
      <c r="K20" s="558"/>
      <c r="L20" s="558"/>
      <c r="N20" s="559">
        <f>SUM(N15:N19)</f>
        <v>9.6673000000000009</v>
      </c>
      <c r="O20" s="560" t="s">
        <v>62</v>
      </c>
      <c r="R20" s="62">
        <v>24</v>
      </c>
      <c r="S20" s="63">
        <v>0.28000000000000003</v>
      </c>
      <c r="T20" s="34"/>
      <c r="U20" s="37"/>
      <c r="W20" s="34"/>
      <c r="X20" s="57"/>
      <c r="AA20" s="20">
        <v>16</v>
      </c>
      <c r="AB20" s="21">
        <v>8</v>
      </c>
      <c r="AC20" s="22">
        <v>92.55</v>
      </c>
      <c r="AD20" s="23"/>
      <c r="AE20" s="14">
        <v>0.98899000000000004</v>
      </c>
      <c r="AF20" s="12">
        <v>0.98653000000000002</v>
      </c>
      <c r="AG20" s="12">
        <v>0.98633999999999999</v>
      </c>
      <c r="AI20" s="730">
        <v>0.99870000000000003</v>
      </c>
      <c r="AJ20" s="731">
        <v>0.87</v>
      </c>
    </row>
    <row r="21" spans="1:38" ht="18.75" customHeight="1" thickBot="1" x14ac:dyDescent="0.25">
      <c r="A21" s="913" t="s">
        <v>51</v>
      </c>
      <c r="B21" s="913"/>
      <c r="C21" s="913"/>
      <c r="D21" s="913"/>
      <c r="E21" s="913"/>
      <c r="F21" s="53"/>
      <c r="G21" s="913" t="s">
        <v>1067</v>
      </c>
      <c r="H21" s="913"/>
      <c r="I21" s="913"/>
      <c r="J21" s="913"/>
      <c r="K21" s="913"/>
      <c r="L21" s="534"/>
      <c r="O21" s="34"/>
      <c r="R21" s="71">
        <v>25</v>
      </c>
      <c r="S21" s="72">
        <v>0.3</v>
      </c>
      <c r="T21" s="34"/>
      <c r="U21" s="37"/>
      <c r="W21" s="34"/>
      <c r="X21" s="34"/>
      <c r="Y21" s="34"/>
      <c r="Z21" s="34"/>
      <c r="AA21" s="20">
        <v>17</v>
      </c>
      <c r="AB21" s="21">
        <v>8.5</v>
      </c>
      <c r="AC21" s="22">
        <v>92.09</v>
      </c>
      <c r="AD21" s="23"/>
      <c r="AE21" s="14">
        <v>0.98838000000000004</v>
      </c>
      <c r="AF21" s="12">
        <v>0.98579000000000006</v>
      </c>
      <c r="AG21" s="12">
        <v>0.98557499999999998</v>
      </c>
      <c r="AI21" s="730">
        <v>0.99860000000000004</v>
      </c>
      <c r="AJ21" s="731">
        <v>0.94</v>
      </c>
      <c r="AL21" t="s">
        <v>28</v>
      </c>
    </row>
    <row r="22" spans="1:38" ht="33" customHeight="1" thickTop="1" x14ac:dyDescent="0.2">
      <c r="A22" s="531" t="s">
        <v>52</v>
      </c>
      <c r="B22" s="531" t="s">
        <v>53</v>
      </c>
      <c r="C22" s="531" t="s">
        <v>54</v>
      </c>
      <c r="D22" s="58" t="s">
        <v>55</v>
      </c>
      <c r="E22" s="59" t="s">
        <v>56</v>
      </c>
      <c r="G22" s="60" t="s">
        <v>57</v>
      </c>
      <c r="H22" s="61" t="s">
        <v>58</v>
      </c>
      <c r="I22" s="60" t="s">
        <v>59</v>
      </c>
      <c r="J22" s="531" t="s">
        <v>60</v>
      </c>
      <c r="K22" s="60" t="s">
        <v>61</v>
      </c>
      <c r="L22" s="81"/>
      <c r="O22" s="34"/>
      <c r="S22" s="34"/>
      <c r="T22" s="34"/>
      <c r="U22" s="37"/>
      <c r="W22" s="34"/>
      <c r="X22" s="34"/>
      <c r="Y22" s="34"/>
      <c r="Z22" s="34"/>
      <c r="AA22" s="20">
        <v>18</v>
      </c>
      <c r="AB22" s="21">
        <v>9</v>
      </c>
      <c r="AC22" s="22">
        <v>91.63</v>
      </c>
      <c r="AD22" s="23"/>
      <c r="AE22" s="14">
        <v>0.98778999999999995</v>
      </c>
      <c r="AF22" s="12">
        <v>0.98504999999999998</v>
      </c>
      <c r="AG22" s="12">
        <v>0.98480999999999996</v>
      </c>
      <c r="AI22" s="730">
        <v>0.99850000000000005</v>
      </c>
      <c r="AJ22" s="731">
        <v>1.1000000000000001</v>
      </c>
    </row>
    <row r="23" spans="1:38" s="9" customFormat="1" ht="18.75" customHeight="1" thickBot="1" x14ac:dyDescent="0.25">
      <c r="A23" s="64"/>
      <c r="B23" s="64"/>
      <c r="C23" s="64"/>
      <c r="D23" s="65">
        <f>(((C23-B23)*10*A23))/1000</f>
        <v>0</v>
      </c>
      <c r="E23" s="66">
        <f>(D23*0.625)+A23</f>
        <v>0</v>
      </c>
      <c r="F23" s="67" t="s">
        <v>63</v>
      </c>
      <c r="G23" s="68">
        <v>52.8</v>
      </c>
      <c r="H23" s="69">
        <v>26</v>
      </c>
      <c r="I23" s="68">
        <v>7</v>
      </c>
      <c r="J23" s="68">
        <v>2.5</v>
      </c>
      <c r="K23" s="70">
        <v>75</v>
      </c>
      <c r="L23" s="88"/>
      <c r="N23" s="922" t="s">
        <v>70</v>
      </c>
      <c r="O23" s="922"/>
      <c r="R23" s="2"/>
      <c r="S23" s="514"/>
      <c r="T23" s="514"/>
      <c r="U23" s="89"/>
      <c r="W23" s="34"/>
      <c r="X23" s="34"/>
      <c r="Y23" s="34"/>
      <c r="Z23" s="34"/>
      <c r="AA23" s="20">
        <v>19</v>
      </c>
      <c r="AB23" s="21">
        <v>9.5</v>
      </c>
      <c r="AC23" s="22">
        <v>91.18</v>
      </c>
      <c r="AD23" s="23"/>
      <c r="AE23" s="14">
        <v>0.98719999999999997</v>
      </c>
      <c r="AF23" s="12">
        <v>0.98433000000000004</v>
      </c>
      <c r="AG23" s="12">
        <v>0.98405500000000001</v>
      </c>
      <c r="AI23" s="730">
        <v>0.99839999999999995</v>
      </c>
      <c r="AJ23" s="731">
        <v>1.08</v>
      </c>
    </row>
    <row r="24" spans="1:38" ht="18.75" customHeight="1" thickTop="1" x14ac:dyDescent="0.2">
      <c r="A24" s="73"/>
      <c r="B24" s="73"/>
      <c r="C24" s="73"/>
      <c r="D24" s="74" t="str">
        <f>IF(A24="","",(((C24-B24)*17.5)*A24)/1000)</f>
        <v/>
      </c>
      <c r="E24" s="75" t="str">
        <f>IF(D24="","",(D24*0.625)+A24)</f>
        <v/>
      </c>
      <c r="F24" s="67" t="s">
        <v>64</v>
      </c>
      <c r="G24" s="76">
        <v>4</v>
      </c>
      <c r="H24" s="77">
        <v>0</v>
      </c>
      <c r="I24" s="78">
        <v>6</v>
      </c>
      <c r="J24" s="79">
        <v>0</v>
      </c>
      <c r="K24" s="80">
        <v>0</v>
      </c>
      <c r="L24" s="88"/>
      <c r="N24" s="923" t="s">
        <v>38</v>
      </c>
      <c r="O24" s="923"/>
      <c r="R24" s="36"/>
      <c r="S24" s="34"/>
      <c r="T24" s="37"/>
      <c r="AA24" s="20">
        <v>20</v>
      </c>
      <c r="AB24" s="21">
        <v>10</v>
      </c>
      <c r="AC24" s="22">
        <v>90.72</v>
      </c>
      <c r="AD24" s="23"/>
      <c r="AE24" s="14">
        <v>0.98660999999999999</v>
      </c>
      <c r="AF24" s="12">
        <v>0.98360999999999998</v>
      </c>
      <c r="AG24" s="12">
        <v>0.98329999999999995</v>
      </c>
      <c r="AI24" s="730">
        <v>0.99829999999999997</v>
      </c>
      <c r="AJ24" s="731">
        <v>1.1399999999999999</v>
      </c>
    </row>
    <row r="25" spans="1:38" ht="33" customHeight="1" x14ac:dyDescent="0.2">
      <c r="A25" s="82" t="s">
        <v>65</v>
      </c>
      <c r="B25" s="82" t="s">
        <v>66</v>
      </c>
      <c r="C25" s="82" t="s">
        <v>67</v>
      </c>
      <c r="D25" s="83" t="s">
        <v>68</v>
      </c>
      <c r="E25" s="83" t="s">
        <v>56</v>
      </c>
      <c r="F25" s="84" t="s">
        <v>69</v>
      </c>
      <c r="G25" s="85">
        <f>IF(G23="","",SUM(G23:G24))</f>
        <v>56.8</v>
      </c>
      <c r="H25" s="86">
        <f>IF(H23="","",(G23*H23+G24*H24)/G25)</f>
        <v>24.169014084507044</v>
      </c>
      <c r="I25" s="85">
        <f>IF(I23="","",(G23*I23+G24*I24)/G25)</f>
        <v>6.929577464788732</v>
      </c>
      <c r="J25" s="85">
        <f>IF(J23="","",(G23*J23+G24*J24)/G25)</f>
        <v>2.323943661971831</v>
      </c>
      <c r="K25" s="87">
        <f>IF(K23="","",(G23*K23+G24*K24)/G25)</f>
        <v>69.718309859154928</v>
      </c>
      <c r="L25" s="97"/>
      <c r="M25">
        <v>25</v>
      </c>
      <c r="N25" s="561" t="s">
        <v>75</v>
      </c>
      <c r="O25" s="562">
        <v>1</v>
      </c>
      <c r="Q25" s="34"/>
      <c r="R25" s="36"/>
      <c r="S25" s="37"/>
      <c r="AA25" s="20">
        <v>21</v>
      </c>
      <c r="AB25" s="21">
        <v>10.5</v>
      </c>
      <c r="AC25" s="22">
        <v>90.27</v>
      </c>
      <c r="AD25" s="23"/>
      <c r="AE25" s="14">
        <v>0.98602000000000001</v>
      </c>
      <c r="AF25" s="12">
        <v>0.98290999999999995</v>
      </c>
      <c r="AG25" s="12">
        <v>0.98257000000000005</v>
      </c>
      <c r="AI25" s="730">
        <v>0.99819999999999998</v>
      </c>
      <c r="AJ25" s="731">
        <v>1.21</v>
      </c>
    </row>
    <row r="26" spans="1:38" ht="30" customHeight="1" thickBot="1" x14ac:dyDescent="0.3">
      <c r="A26" s="924" t="s">
        <v>71</v>
      </c>
      <c r="B26" s="924"/>
      <c r="C26" s="924"/>
      <c r="D26" s="924"/>
      <c r="E26" s="90" t="s">
        <v>28</v>
      </c>
      <c r="G26" s="925" t="s">
        <v>808</v>
      </c>
      <c r="H26" s="925"/>
      <c r="I26" s="925"/>
      <c r="J26" s="925"/>
      <c r="K26" s="925"/>
      <c r="L26" s="100"/>
      <c r="N26" s="561" t="s">
        <v>40</v>
      </c>
      <c r="O26" s="562">
        <v>2</v>
      </c>
      <c r="R26" s="36"/>
      <c r="S26" s="34"/>
      <c r="T26" s="37"/>
      <c r="AA26" s="20">
        <v>22</v>
      </c>
      <c r="AB26" s="21">
        <v>11</v>
      </c>
      <c r="AC26" s="22">
        <v>89.81</v>
      </c>
      <c r="AD26" s="23"/>
      <c r="AE26" s="14">
        <v>0.98543999999999998</v>
      </c>
      <c r="AF26" s="12">
        <v>0.98221000000000003</v>
      </c>
      <c r="AG26" s="12">
        <v>0.98184000000000005</v>
      </c>
      <c r="AI26" s="730">
        <v>0.99809999999999999</v>
      </c>
      <c r="AJ26" s="731">
        <v>1.28</v>
      </c>
    </row>
    <row r="27" spans="1:38" ht="22.5" customHeight="1" thickTop="1" thickBot="1" x14ac:dyDescent="0.25">
      <c r="A27" s="91" t="s">
        <v>72</v>
      </c>
      <c r="B27" s="92">
        <v>24</v>
      </c>
      <c r="C27" s="93" t="s">
        <v>73</v>
      </c>
      <c r="D27" s="94">
        <v>53</v>
      </c>
      <c r="E27" s="95"/>
      <c r="F27" s="96"/>
      <c r="G27" s="941" t="s">
        <v>809</v>
      </c>
      <c r="H27" s="942"/>
      <c r="I27" s="943" t="s">
        <v>810</v>
      </c>
      <c r="J27" s="944"/>
      <c r="K27" s="563"/>
      <c r="L27" s="103"/>
      <c r="M27">
        <v>27</v>
      </c>
      <c r="N27" s="561" t="s">
        <v>42</v>
      </c>
      <c r="O27" s="562">
        <v>3</v>
      </c>
      <c r="S27" s="34"/>
      <c r="T27" s="34"/>
      <c r="AA27" s="20">
        <v>23</v>
      </c>
      <c r="AB27" s="21">
        <v>11.5</v>
      </c>
      <c r="AC27" s="22">
        <v>89.36</v>
      </c>
      <c r="AD27" s="23"/>
      <c r="AE27" s="14">
        <v>0.98487000000000002</v>
      </c>
      <c r="AF27" s="12">
        <v>0.98152499999999998</v>
      </c>
      <c r="AG27" s="12">
        <v>0.98111499999999996</v>
      </c>
      <c r="AI27" s="730">
        <v>0.998</v>
      </c>
      <c r="AJ27" s="731">
        <v>1.35</v>
      </c>
    </row>
    <row r="28" spans="1:38" ht="21.75" customHeight="1" thickTop="1" x14ac:dyDescent="0.2">
      <c r="A28" s="945" t="s">
        <v>76</v>
      </c>
      <c r="B28" s="945" t="s">
        <v>77</v>
      </c>
      <c r="C28" s="946" t="s">
        <v>78</v>
      </c>
      <c r="D28" s="947" t="s">
        <v>79</v>
      </c>
      <c r="E28" s="98"/>
      <c r="F28" s="99"/>
      <c r="G28" s="531" t="s">
        <v>811</v>
      </c>
      <c r="H28" s="564" t="s">
        <v>812</v>
      </c>
      <c r="I28" s="565" t="s">
        <v>813</v>
      </c>
      <c r="J28" s="531" t="s">
        <v>814</v>
      </c>
      <c r="K28" s="566"/>
      <c r="L28" s="103"/>
      <c r="N28" s="567"/>
      <c r="O28" s="549"/>
      <c r="S28" s="34"/>
      <c r="T28" s="34"/>
      <c r="AA28" s="20">
        <v>24</v>
      </c>
      <c r="AB28" s="21">
        <v>12</v>
      </c>
      <c r="AC28" s="108">
        <v>88.9</v>
      </c>
      <c r="AD28" s="109"/>
      <c r="AE28" s="14">
        <v>0.98429999999999995</v>
      </c>
      <c r="AF28" s="12">
        <v>0.98084000000000005</v>
      </c>
      <c r="AG28" s="12">
        <v>0.98038999999999998</v>
      </c>
      <c r="AI28" s="730">
        <v>0.99790000000000001</v>
      </c>
      <c r="AJ28" s="731">
        <v>1.42</v>
      </c>
    </row>
    <row r="29" spans="1:38" ht="18" customHeight="1" thickBot="1" x14ac:dyDescent="0.25">
      <c r="A29" s="945"/>
      <c r="B29" s="945"/>
      <c r="C29" s="946"/>
      <c r="D29" s="947"/>
      <c r="E29" s="168"/>
      <c r="F29" s="533" t="s">
        <v>80</v>
      </c>
      <c r="G29" s="101">
        <v>80</v>
      </c>
      <c r="H29" s="568">
        <v>20</v>
      </c>
      <c r="I29" s="569">
        <v>80</v>
      </c>
      <c r="J29" s="101">
        <v>20</v>
      </c>
      <c r="K29" s="570" t="s">
        <v>74</v>
      </c>
      <c r="L29" s="110"/>
      <c r="N29" s="934" t="s">
        <v>86</v>
      </c>
      <c r="O29" s="934"/>
      <c r="AA29" s="20">
        <v>25</v>
      </c>
      <c r="AB29" s="21">
        <v>12.5</v>
      </c>
      <c r="AC29" s="22">
        <v>88.45</v>
      </c>
      <c r="AD29" s="23"/>
      <c r="AE29" s="14">
        <v>0.98373999999999995</v>
      </c>
      <c r="AF29" s="12">
        <v>0.98016000000000003</v>
      </c>
      <c r="AG29" s="12">
        <v>0.97968</v>
      </c>
      <c r="AI29" s="730">
        <v>0.99780000000000002</v>
      </c>
      <c r="AJ29" s="731">
        <v>1.48</v>
      </c>
    </row>
    <row r="30" spans="1:38" ht="19.5" customHeight="1" thickTop="1" thickBot="1" x14ac:dyDescent="0.25">
      <c r="A30" s="43">
        <v>3001</v>
      </c>
      <c r="B30" s="104">
        <v>0</v>
      </c>
      <c r="C30" s="105">
        <f>(B27*7.5)*INDEX(P55:P104,MATCH($A$30,O55:O104,0))</f>
        <v>257.39999999999998</v>
      </c>
      <c r="D30" s="106">
        <f>C30-B30</f>
        <v>257.39999999999998</v>
      </c>
      <c r="E30" s="571"/>
      <c r="F30" s="572" t="s">
        <v>815</v>
      </c>
      <c r="G30" s="573">
        <f>IF($D$35=0,"",$D$35*G29/100)</f>
        <v>13.9072</v>
      </c>
      <c r="H30" s="107">
        <f>IF($D$35=0,"",$D$35*H29/100)</f>
        <v>3.4767999999999999</v>
      </c>
      <c r="I30" s="573"/>
      <c r="J30" s="107"/>
      <c r="K30" s="511">
        <f>SUM(G30:H30)</f>
        <v>17.384</v>
      </c>
      <c r="L30" s="110"/>
      <c r="M30">
        <v>30</v>
      </c>
      <c r="N30" s="567" t="s">
        <v>41</v>
      </c>
      <c r="O30" s="562">
        <v>1</v>
      </c>
      <c r="AA30" s="20">
        <v>26</v>
      </c>
      <c r="AB30" s="21">
        <v>13</v>
      </c>
      <c r="AC30" s="108">
        <v>88</v>
      </c>
      <c r="AD30" s="109"/>
      <c r="AE30" s="14">
        <v>0.98319000000000001</v>
      </c>
      <c r="AF30" s="12">
        <v>0.97948000000000002</v>
      </c>
      <c r="AG30" s="12">
        <v>0.97897000000000001</v>
      </c>
      <c r="AI30" s="730">
        <v>0.99770000000000003</v>
      </c>
      <c r="AJ30" s="731">
        <v>1.55</v>
      </c>
    </row>
    <row r="31" spans="1:38" ht="20.25" customHeight="1" thickTop="1" thickBot="1" x14ac:dyDescent="0.25">
      <c r="A31" s="935" t="s">
        <v>82</v>
      </c>
      <c r="B31" s="936" t="s">
        <v>83</v>
      </c>
      <c r="C31" s="937" t="s">
        <v>84</v>
      </c>
      <c r="D31" s="938" t="s">
        <v>85</v>
      </c>
      <c r="E31" s="571"/>
      <c r="F31" s="572" t="s">
        <v>816</v>
      </c>
      <c r="G31" s="574"/>
      <c r="H31" s="575"/>
      <c r="I31" s="509">
        <f>IF($D$36=0,"",$D$36*I29/100)</f>
        <v>10.175999999999998</v>
      </c>
      <c r="J31" s="574">
        <f>IF($D$36=0,"",$D$36*J29/100)</f>
        <v>2.5439999999999996</v>
      </c>
      <c r="K31" s="576">
        <f>SUM(I31:J31)</f>
        <v>12.719999999999999</v>
      </c>
      <c r="L31" s="110"/>
      <c r="M31">
        <v>31</v>
      </c>
      <c r="N31" s="567" t="s">
        <v>89</v>
      </c>
      <c r="O31" s="562">
        <v>3</v>
      </c>
      <c r="AA31" s="20">
        <v>27</v>
      </c>
      <c r="AB31" s="21">
        <v>13.5</v>
      </c>
      <c r="AC31" s="22">
        <v>87.55</v>
      </c>
      <c r="AD31" s="23"/>
      <c r="AE31" s="14">
        <v>0.98263999999999996</v>
      </c>
      <c r="AF31" s="12">
        <v>0.97882000000000002</v>
      </c>
      <c r="AG31" s="12">
        <v>0.97826999999999997</v>
      </c>
      <c r="AI31" s="730">
        <v>0.99760000000000004</v>
      </c>
      <c r="AJ31" s="731">
        <v>1.62</v>
      </c>
    </row>
    <row r="32" spans="1:38" ht="21" customHeight="1" thickTop="1" thickBot="1" x14ac:dyDescent="0.25">
      <c r="A32" s="935"/>
      <c r="B32" s="935"/>
      <c r="C32" s="937"/>
      <c r="D32" s="938"/>
      <c r="E32" s="571"/>
      <c r="F32" s="572" t="s">
        <v>817</v>
      </c>
      <c r="G32" s="577"/>
      <c r="H32" s="578"/>
      <c r="I32" s="579" t="str">
        <f>IF($D$37=0,"",D37*I29/100)</f>
        <v/>
      </c>
      <c r="J32" s="111" t="str">
        <f>IF($D$37=0,"",D37*J29/100)</f>
        <v/>
      </c>
      <c r="K32" s="580" t="str">
        <f>IF(SUM(I32:J32)=0,"",SUM(I32:J32))</f>
        <v/>
      </c>
      <c r="L32" s="110"/>
      <c r="N32" s="567"/>
      <c r="O32" s="549"/>
      <c r="AA32" s="20">
        <v>28</v>
      </c>
      <c r="AB32" s="21">
        <v>14</v>
      </c>
      <c r="AC32" s="108">
        <v>87.1</v>
      </c>
      <c r="AD32" s="109"/>
      <c r="AE32" s="14">
        <v>0.98209999999999997</v>
      </c>
      <c r="AF32" s="12">
        <v>0.97816000000000003</v>
      </c>
      <c r="AG32" s="12">
        <v>0.97757000000000005</v>
      </c>
      <c r="AI32" s="730">
        <v>0.99750000000000005</v>
      </c>
      <c r="AJ32" s="731">
        <v>1.69</v>
      </c>
    </row>
    <row r="33" spans="1:36" ht="18" customHeight="1" thickTop="1" x14ac:dyDescent="0.2">
      <c r="A33" s="112" t="s">
        <v>87</v>
      </c>
      <c r="B33" s="113">
        <f>IF(B27&lt;=22,0.25,(0.0165*B27)-0.114)</f>
        <v>0.28200000000000003</v>
      </c>
      <c r="C33" s="114" t="s">
        <v>88</v>
      </c>
      <c r="D33" s="509">
        <f>IF(B33="","",B33*$D$27)</f>
        <v>14.946000000000002</v>
      </c>
      <c r="E33" s="939" t="s">
        <v>818</v>
      </c>
      <c r="F33" s="940"/>
      <c r="G33" s="115">
        <f>B30+C34+(C35*G29/100)</f>
        <v>52.559000000000012</v>
      </c>
      <c r="H33" s="581">
        <f>G33+(C35*H29/100)</f>
        <v>63.055000000000014</v>
      </c>
      <c r="I33" s="581">
        <f>H33+(SUM(C36:C37)*I29/100)</f>
        <v>82.25500000000001</v>
      </c>
      <c r="J33" s="581">
        <f>I33+(SUM(C36:C37)*J29/100)</f>
        <v>87.055000000000007</v>
      </c>
      <c r="K33" s="116">
        <f>J33</f>
        <v>87.055000000000007</v>
      </c>
      <c r="L33" s="97"/>
      <c r="N33" s="923" t="s">
        <v>92</v>
      </c>
      <c r="O33" s="923"/>
      <c r="W33" s="34"/>
      <c r="X33" s="34"/>
      <c r="Y33" s="34"/>
      <c r="Z33" s="34"/>
      <c r="AA33" s="20">
        <v>29</v>
      </c>
      <c r="AB33" s="21">
        <v>14.5</v>
      </c>
      <c r="AC33" s="108">
        <v>86.65</v>
      </c>
      <c r="AD33" s="109"/>
      <c r="AE33" s="14">
        <v>0.98157000000000005</v>
      </c>
      <c r="AF33" s="12">
        <v>0.97751500000000002</v>
      </c>
      <c r="AG33" s="12">
        <v>0.97687999999999997</v>
      </c>
      <c r="AI33" s="730">
        <v>0.99739999999999995</v>
      </c>
      <c r="AJ33" s="731">
        <v>1.76</v>
      </c>
    </row>
    <row r="34" spans="1:36" ht="18" customHeight="1" x14ac:dyDescent="0.25">
      <c r="A34" s="117" t="s">
        <v>819</v>
      </c>
      <c r="B34" s="113">
        <f>B33*1.25</f>
        <v>0.35250000000000004</v>
      </c>
      <c r="C34" s="118">
        <f>IF(B34="","",B34*30)</f>
        <v>10.575000000000001</v>
      </c>
      <c r="D34" s="509">
        <f>IF(B34="","",B34*$D$27)</f>
        <v>18.682500000000001</v>
      </c>
      <c r="F34" s="119"/>
      <c r="I34" s="953" t="s">
        <v>90</v>
      </c>
      <c r="J34" s="954"/>
      <c r="K34" s="955"/>
      <c r="L34" s="481"/>
      <c r="M34">
        <v>34</v>
      </c>
      <c r="N34" s="567" t="s">
        <v>94</v>
      </c>
      <c r="O34" s="582">
        <v>1</v>
      </c>
      <c r="W34" s="34"/>
      <c r="X34" s="34"/>
      <c r="Y34" s="34"/>
      <c r="Z34" s="34"/>
      <c r="AA34" s="20">
        <v>30</v>
      </c>
      <c r="AB34" s="21">
        <v>15</v>
      </c>
      <c r="AC34" s="108">
        <v>86.2</v>
      </c>
      <c r="AD34" s="109"/>
      <c r="AE34" s="14">
        <v>0.98104000000000002</v>
      </c>
      <c r="AF34" s="12">
        <v>0.97687000000000002</v>
      </c>
      <c r="AG34" s="12">
        <v>0.97619</v>
      </c>
      <c r="AI34" s="730">
        <v>0.99729999999999996</v>
      </c>
      <c r="AJ34" s="731">
        <v>1.83</v>
      </c>
    </row>
    <row r="35" spans="1:36" ht="18" customHeight="1" x14ac:dyDescent="0.2">
      <c r="A35" s="40" t="s">
        <v>93</v>
      </c>
      <c r="B35" s="121">
        <v>0.32800000000000001</v>
      </c>
      <c r="C35" s="118">
        <f>IF(B35="","",B35*160)</f>
        <v>52.480000000000004</v>
      </c>
      <c r="D35" s="509">
        <f>IF(B35="","",B35*$D$27)</f>
        <v>17.384</v>
      </c>
      <c r="F35" s="34"/>
      <c r="G35" s="956" t="s">
        <v>820</v>
      </c>
      <c r="H35" s="956"/>
      <c r="I35" s="583">
        <v>50</v>
      </c>
      <c r="J35" s="274">
        <v>50</v>
      </c>
      <c r="K35" s="102"/>
      <c r="L35" s="110"/>
      <c r="N35" s="567" t="s">
        <v>40</v>
      </c>
      <c r="O35" s="582">
        <v>2</v>
      </c>
      <c r="W35" s="34"/>
      <c r="X35" s="34"/>
      <c r="Y35" s="34"/>
      <c r="Z35" s="34"/>
      <c r="AA35" s="20">
        <v>31</v>
      </c>
      <c r="AB35" s="21">
        <v>15.5</v>
      </c>
      <c r="AC35" s="108">
        <v>85.75</v>
      </c>
      <c r="AD35" s="109"/>
      <c r="AE35" s="14">
        <v>0.98050999999999999</v>
      </c>
      <c r="AF35" s="12">
        <v>0.97623499999999996</v>
      </c>
      <c r="AG35" s="12">
        <v>0.97551500000000002</v>
      </c>
      <c r="AI35" s="730">
        <v>0.99719999999999998</v>
      </c>
      <c r="AJ35" s="731">
        <v>1.89</v>
      </c>
    </row>
    <row r="36" spans="1:36" ht="18" customHeight="1" x14ac:dyDescent="0.2">
      <c r="A36" s="40" t="s">
        <v>91</v>
      </c>
      <c r="B36" s="121">
        <v>0.24</v>
      </c>
      <c r="C36" s="118">
        <f>IF(B36="","",B36*100)</f>
        <v>24</v>
      </c>
      <c r="D36" s="509">
        <f>IF(B36="","",B36*$D$27)</f>
        <v>12.719999999999999</v>
      </c>
      <c r="F36" s="528"/>
      <c r="G36" s="957" t="s">
        <v>821</v>
      </c>
      <c r="H36" s="957"/>
      <c r="I36" s="584" t="str">
        <f>IF($D$39=0,"",$D$39*I35/100)</f>
        <v/>
      </c>
      <c r="J36" s="584" t="str">
        <f>IF($D$39=0,"",$D$39*J35/100)</f>
        <v/>
      </c>
      <c r="K36" s="123" t="str">
        <f>IF(J36="","",SUM(I36:J36))</f>
        <v/>
      </c>
      <c r="L36" s="110"/>
      <c r="M36">
        <v>36</v>
      </c>
      <c r="N36" s="585" t="s">
        <v>96</v>
      </c>
      <c r="O36" s="586">
        <v>3</v>
      </c>
      <c r="W36" s="34"/>
      <c r="X36" s="34"/>
      <c r="Y36" s="34"/>
      <c r="Z36" s="34"/>
      <c r="AA36" s="20">
        <v>32</v>
      </c>
      <c r="AB36" s="21">
        <v>16</v>
      </c>
      <c r="AC36" s="108">
        <v>85.3</v>
      </c>
      <c r="AD36" s="109"/>
      <c r="AE36" s="14">
        <v>0.97997999999999996</v>
      </c>
      <c r="AF36" s="12">
        <v>0.97560000000000002</v>
      </c>
      <c r="AG36" s="12">
        <v>0.97484000000000004</v>
      </c>
      <c r="AI36" s="730">
        <v>0.99709999999999999</v>
      </c>
      <c r="AJ36" s="731">
        <v>1.96</v>
      </c>
    </row>
    <row r="37" spans="1:36" ht="18" customHeight="1" x14ac:dyDescent="0.2">
      <c r="A37" s="40" t="s">
        <v>95</v>
      </c>
      <c r="B37" s="121">
        <v>0</v>
      </c>
      <c r="C37" s="118">
        <f>IF(B37="","",B37*91.7)</f>
        <v>0</v>
      </c>
      <c r="D37" s="509">
        <f>IF(B37="","",B37*$D$27)</f>
        <v>0</v>
      </c>
      <c r="E37" s="587"/>
      <c r="F37" s="588"/>
      <c r="G37" s="958" t="s">
        <v>822</v>
      </c>
      <c r="H37" s="958"/>
      <c r="I37" s="584" t="str">
        <f>IF(C39=0,"",C39*I35/100)</f>
        <v/>
      </c>
      <c r="J37" s="584" t="str">
        <f>IF(C39=0,"",C39*J35/100)</f>
        <v/>
      </c>
      <c r="K37" s="123" t="str">
        <f>IF(J37="","",SUM(I37:J37))</f>
        <v/>
      </c>
      <c r="L37" s="97"/>
      <c r="W37" s="34"/>
      <c r="X37" s="34"/>
      <c r="Y37" s="34"/>
      <c r="Z37" s="34"/>
      <c r="AA37" s="20">
        <v>33</v>
      </c>
      <c r="AB37" s="21">
        <v>16.5</v>
      </c>
      <c r="AC37" s="108">
        <v>84.85</v>
      </c>
      <c r="AD37" s="109"/>
      <c r="AE37" s="14">
        <v>0.97946</v>
      </c>
      <c r="AF37" s="12">
        <v>0.97495500000000002</v>
      </c>
      <c r="AG37" s="12">
        <v>0.97414999999999996</v>
      </c>
      <c r="AI37" s="730">
        <v>0.997</v>
      </c>
      <c r="AJ37" s="731">
        <v>2.0299999999999998</v>
      </c>
    </row>
    <row r="38" spans="1:36" ht="18" customHeight="1" x14ac:dyDescent="0.2">
      <c r="A38" s="120"/>
      <c r="B38" s="125"/>
      <c r="C38" s="126"/>
      <c r="D38" s="127"/>
      <c r="G38" s="959" t="s">
        <v>823</v>
      </c>
      <c r="H38" s="959"/>
      <c r="I38" s="589" t="str">
        <f>IF(I37="","",SUM(I33,I37))</f>
        <v/>
      </c>
      <c r="J38" s="589" t="str">
        <f>IF(J37="","",SUM(J33,I37,J37))</f>
        <v/>
      </c>
      <c r="K38" s="124" t="str">
        <f>IF(K37="","",J38)</f>
        <v/>
      </c>
      <c r="L38" s="97"/>
      <c r="P38" s="131" t="s">
        <v>100</v>
      </c>
      <c r="T38" s="34"/>
      <c r="U38" s="34"/>
      <c r="W38" s="34"/>
      <c r="X38" s="34"/>
      <c r="Y38" s="34"/>
      <c r="Z38" s="34"/>
      <c r="AA38" s="20">
        <v>34</v>
      </c>
      <c r="AB38" s="21">
        <v>17</v>
      </c>
      <c r="AC38" s="108">
        <v>84.4</v>
      </c>
      <c r="AD38" s="109"/>
      <c r="AE38" s="14">
        <v>0.97894999999999999</v>
      </c>
      <c r="AF38" s="12">
        <v>0.97431000000000001</v>
      </c>
      <c r="AG38" s="12">
        <v>0.97345999999999999</v>
      </c>
      <c r="AI38" s="730">
        <v>0.99690000000000001</v>
      </c>
      <c r="AJ38" s="731">
        <v>2.1</v>
      </c>
    </row>
    <row r="39" spans="1:36" ht="18" customHeight="1" thickBot="1" x14ac:dyDescent="0.25">
      <c r="A39" s="40" t="s">
        <v>97</v>
      </c>
      <c r="B39" s="121">
        <v>0</v>
      </c>
      <c r="C39" s="513">
        <f>IF(B39="","",B39*212)</f>
        <v>0</v>
      </c>
      <c r="D39" s="512">
        <f>IF(B39="","",B39*$D$27)</f>
        <v>0</v>
      </c>
      <c r="E39" s="128"/>
      <c r="O39" s="134" t="s">
        <v>103</v>
      </c>
      <c r="P39" s="134" t="s">
        <v>104</v>
      </c>
      <c r="Q39" s="34"/>
      <c r="R39" s="135" t="s">
        <v>105</v>
      </c>
      <c r="U39" s="34"/>
      <c r="W39" s="34"/>
      <c r="X39" s="34"/>
      <c r="Y39" s="34"/>
      <c r="Z39" s="34"/>
      <c r="AA39" s="20">
        <v>35</v>
      </c>
      <c r="AB39" s="21">
        <v>17.5</v>
      </c>
      <c r="AC39" s="108">
        <v>83.95</v>
      </c>
      <c r="AD39" s="109"/>
      <c r="AE39" s="14">
        <v>0.97843999999999998</v>
      </c>
      <c r="AF39" s="12">
        <v>0.97365999999999997</v>
      </c>
      <c r="AG39" s="12">
        <v>0.97276499999999999</v>
      </c>
      <c r="AI39" s="730">
        <v>0.99680000000000002</v>
      </c>
      <c r="AJ39" s="731">
        <v>2.17</v>
      </c>
    </row>
    <row r="40" spans="1:36" ht="23.25" customHeight="1" thickTop="1" thickBot="1" x14ac:dyDescent="0.25">
      <c r="A40" s="960" t="s">
        <v>98</v>
      </c>
      <c r="B40" s="960"/>
      <c r="C40" s="129">
        <f>SUM(C34:C39)</f>
        <v>87.055000000000007</v>
      </c>
      <c r="D40" s="130"/>
      <c r="E40" s="2"/>
      <c r="F40" s="528"/>
      <c r="I40" s="961" t="s">
        <v>99</v>
      </c>
      <c r="J40" s="961"/>
      <c r="K40" s="961"/>
      <c r="L40" s="534"/>
      <c r="O40" s="137">
        <v>20</v>
      </c>
      <c r="P40" s="137">
        <v>150</v>
      </c>
      <c r="Q40" s="34"/>
      <c r="U40" s="34"/>
      <c r="W40" s="34"/>
      <c r="X40" s="34"/>
      <c r="Y40" s="34"/>
      <c r="Z40" s="34"/>
      <c r="AA40" s="20">
        <v>36</v>
      </c>
      <c r="AB40" s="21">
        <v>18</v>
      </c>
      <c r="AC40" s="108">
        <v>83.5</v>
      </c>
      <c r="AD40" s="109"/>
      <c r="AE40" s="14">
        <v>0.97794000000000003</v>
      </c>
      <c r="AF40" s="12">
        <v>0.97301000000000004</v>
      </c>
      <c r="AG40" s="12">
        <v>0.97206999999999999</v>
      </c>
      <c r="AI40" s="730">
        <v>0.99670000000000003</v>
      </c>
      <c r="AJ40" s="731">
        <v>2.2400000000000002</v>
      </c>
    </row>
    <row r="41" spans="1:36" ht="18.75" customHeight="1" thickTop="1" x14ac:dyDescent="0.2">
      <c r="A41" s="948" t="s">
        <v>101</v>
      </c>
      <c r="B41" s="948"/>
      <c r="C41" s="948"/>
      <c r="D41" s="948"/>
      <c r="E41" s="132"/>
      <c r="F41" s="529"/>
      <c r="I41" s="949" t="s">
        <v>102</v>
      </c>
      <c r="J41" s="949"/>
      <c r="K41" s="949"/>
      <c r="L41" s="141"/>
      <c r="M41" s="142"/>
      <c r="O41" s="137">
        <v>22</v>
      </c>
      <c r="P41" s="137">
        <v>165</v>
      </c>
      <c r="Q41" s="34"/>
      <c r="U41" s="34"/>
      <c r="W41" s="34"/>
      <c r="X41" s="34"/>
      <c r="Y41" s="34"/>
      <c r="Z41" s="34"/>
      <c r="AA41" s="20">
        <v>37</v>
      </c>
      <c r="AB41" s="21">
        <v>18.5</v>
      </c>
      <c r="AC41" s="108">
        <v>83.06</v>
      </c>
      <c r="AD41" s="109"/>
      <c r="AE41" s="14">
        <v>0.97743999999999998</v>
      </c>
      <c r="AF41" s="12">
        <v>0.97235000000000005</v>
      </c>
      <c r="AG41" s="12">
        <v>0.97136</v>
      </c>
      <c r="AI41" s="730">
        <v>0.99660000000000004</v>
      </c>
      <c r="AJ41" s="731">
        <v>2.31</v>
      </c>
    </row>
    <row r="42" spans="1:36" ht="18.75" customHeight="1" x14ac:dyDescent="0.2">
      <c r="A42" s="948"/>
      <c r="B42" s="948"/>
      <c r="C42" s="948"/>
      <c r="D42" s="948"/>
      <c r="F42" s="133"/>
      <c r="I42" s="950" t="s">
        <v>106</v>
      </c>
      <c r="J42" s="950"/>
      <c r="K42" s="136">
        <v>7.9</v>
      </c>
      <c r="L42" s="147"/>
      <c r="O42" s="137">
        <v>24</v>
      </c>
      <c r="P42" s="137">
        <v>180</v>
      </c>
      <c r="Q42" s="34"/>
      <c r="U42" s="34"/>
      <c r="AA42" s="20">
        <v>38</v>
      </c>
      <c r="AB42" s="21">
        <v>19</v>
      </c>
      <c r="AC42" s="22">
        <v>82.61</v>
      </c>
      <c r="AD42" s="23"/>
      <c r="AE42" s="14">
        <v>0.97694000000000003</v>
      </c>
      <c r="AF42" s="12">
        <v>0.97169000000000005</v>
      </c>
      <c r="AG42" s="12">
        <v>0.97065000000000001</v>
      </c>
      <c r="AI42" s="730">
        <v>0.99650000000000005</v>
      </c>
      <c r="AJ42" s="731">
        <v>2.38</v>
      </c>
    </row>
    <row r="43" spans="1:36" ht="23.25" customHeight="1" thickBot="1" x14ac:dyDescent="0.3">
      <c r="A43" s="138"/>
      <c r="B43" s="962" t="s">
        <v>107</v>
      </c>
      <c r="C43" s="962"/>
      <c r="D43" s="139"/>
      <c r="E43" s="951" t="s">
        <v>108</v>
      </c>
      <c r="F43" s="951"/>
      <c r="G43" s="952" t="s">
        <v>109</v>
      </c>
      <c r="H43" s="952"/>
      <c r="I43" s="950" t="s">
        <v>110</v>
      </c>
      <c r="J43" s="950"/>
      <c r="K43" s="140">
        <v>12.7</v>
      </c>
      <c r="L43" s="151"/>
      <c r="O43" s="137">
        <v>26</v>
      </c>
      <c r="P43" s="137">
        <v>195</v>
      </c>
      <c r="Q43" s="34"/>
      <c r="U43" s="34"/>
      <c r="AA43" s="20">
        <v>39</v>
      </c>
      <c r="AB43" s="21">
        <v>19.5</v>
      </c>
      <c r="AC43" s="108">
        <v>82.16</v>
      </c>
      <c r="AD43" s="109"/>
      <c r="AE43" s="14">
        <v>0.97645000000000004</v>
      </c>
      <c r="AF43" s="12">
        <v>0.97102500000000003</v>
      </c>
      <c r="AG43" s="12">
        <v>0.96993499999999999</v>
      </c>
      <c r="AI43" s="730">
        <v>0.99639999999999995</v>
      </c>
      <c r="AJ43" s="731">
        <v>2.4500000000000002</v>
      </c>
    </row>
    <row r="44" spans="1:36" ht="18.75" customHeight="1" thickTop="1" thickBot="1" x14ac:dyDescent="0.25">
      <c r="A44" s="34"/>
      <c r="B44" s="143" t="s">
        <v>111</v>
      </c>
      <c r="C44" s="144">
        <v>3.3</v>
      </c>
      <c r="E44" s="972" t="s">
        <v>112</v>
      </c>
      <c r="F44" s="972"/>
      <c r="G44" s="145" t="s">
        <v>81</v>
      </c>
      <c r="H44" s="146" t="s">
        <v>113</v>
      </c>
      <c r="I44" s="950" t="s">
        <v>114</v>
      </c>
      <c r="J44" s="950"/>
      <c r="K44" s="140">
        <v>6.4</v>
      </c>
      <c r="L44" s="151"/>
      <c r="P44" s="156"/>
      <c r="Q44" s="34"/>
      <c r="U44" s="34"/>
      <c r="AA44" s="20">
        <v>40</v>
      </c>
      <c r="AB44" s="21">
        <v>20</v>
      </c>
      <c r="AC44" s="22">
        <v>81.72</v>
      </c>
      <c r="AD44" s="23"/>
      <c r="AE44" s="14">
        <v>0.97596000000000005</v>
      </c>
      <c r="AF44" s="12">
        <v>0.97036</v>
      </c>
      <c r="AG44" s="12">
        <v>0.96921999999999997</v>
      </c>
      <c r="AI44" s="730">
        <v>0.99629999999999996</v>
      </c>
      <c r="AJ44" s="731">
        <v>2.52</v>
      </c>
    </row>
    <row r="45" spans="1:36" ht="18.75" customHeight="1" thickTop="1" x14ac:dyDescent="0.2">
      <c r="A45" s="34" t="s">
        <v>28</v>
      </c>
      <c r="B45" s="148" t="s">
        <v>115</v>
      </c>
      <c r="C45" s="149">
        <v>12.7</v>
      </c>
      <c r="E45" s="150" t="s">
        <v>116</v>
      </c>
      <c r="F45" s="122">
        <v>20</v>
      </c>
      <c r="G45" s="145" t="s">
        <v>117</v>
      </c>
      <c r="H45" s="146" t="s">
        <v>118</v>
      </c>
      <c r="I45" s="950" t="s">
        <v>119</v>
      </c>
      <c r="J45" s="950"/>
      <c r="K45" s="140">
        <v>0</v>
      </c>
      <c r="L45" s="151"/>
      <c r="N45" s="159"/>
      <c r="U45" s="34"/>
      <c r="AA45" s="20">
        <v>41</v>
      </c>
      <c r="AB45" s="21">
        <v>20.5</v>
      </c>
      <c r="AC45" s="108">
        <v>81.27</v>
      </c>
      <c r="AD45" s="109"/>
      <c r="AE45" s="14">
        <v>0.97545999999999999</v>
      </c>
      <c r="AF45" s="12">
        <v>0.96968500000000002</v>
      </c>
      <c r="AG45" s="12">
        <v>0.96850000000000003</v>
      </c>
      <c r="AI45" s="730">
        <v>0.99619999999999997</v>
      </c>
      <c r="AJ45" s="731">
        <v>2.58</v>
      </c>
    </row>
    <row r="46" spans="1:36" ht="18.75" customHeight="1" thickBot="1" x14ac:dyDescent="0.25">
      <c r="A46" s="34"/>
      <c r="B46" s="143" t="s">
        <v>120</v>
      </c>
      <c r="C46" s="152">
        <v>13</v>
      </c>
      <c r="D46" s="153"/>
      <c r="E46" s="150" t="s">
        <v>121</v>
      </c>
      <c r="F46" s="154">
        <v>15</v>
      </c>
      <c r="G46" s="145" t="s">
        <v>849</v>
      </c>
      <c r="H46" s="146" t="s">
        <v>122</v>
      </c>
      <c r="I46" s="973" t="s">
        <v>123</v>
      </c>
      <c r="J46" s="973"/>
      <c r="K46" s="155">
        <f>K42-((K44*(K45/100))*1.12)+(K43/10)</f>
        <v>9.17</v>
      </c>
      <c r="L46" s="161"/>
      <c r="N46" s="162" t="s">
        <v>133</v>
      </c>
      <c r="U46" s="34"/>
      <c r="AA46" s="20">
        <v>42</v>
      </c>
      <c r="AB46" s="21">
        <v>21</v>
      </c>
      <c r="AC46" s="22">
        <v>80.819999999999993</v>
      </c>
      <c r="AD46" s="23"/>
      <c r="AE46" s="14">
        <v>0.97496000000000005</v>
      </c>
      <c r="AF46" s="12">
        <v>0.96901000000000004</v>
      </c>
      <c r="AG46" s="12">
        <v>0.96777999999999997</v>
      </c>
      <c r="AI46" s="730">
        <v>0.99609999999999999</v>
      </c>
      <c r="AJ46" s="731">
        <v>2.65</v>
      </c>
    </row>
    <row r="47" spans="1:36" ht="18.75" customHeight="1" thickTop="1" x14ac:dyDescent="0.2">
      <c r="A47" s="34"/>
      <c r="B47" s="157" t="s">
        <v>124</v>
      </c>
      <c r="C47" s="152">
        <v>0.8</v>
      </c>
      <c r="D47" s="153"/>
      <c r="E47" s="150" t="s">
        <v>125</v>
      </c>
      <c r="F47" s="158">
        <v>15</v>
      </c>
      <c r="G47" s="145" t="s">
        <v>126</v>
      </c>
      <c r="H47" s="146" t="s">
        <v>127</v>
      </c>
      <c r="I47" s="974" t="s">
        <v>128</v>
      </c>
      <c r="J47" s="974"/>
      <c r="K47" s="974"/>
      <c r="L47" s="167"/>
      <c r="N47" s="168" t="s">
        <v>139</v>
      </c>
      <c r="U47" s="34"/>
      <c r="AA47" s="20">
        <v>43</v>
      </c>
      <c r="AB47" s="21">
        <v>21.5</v>
      </c>
      <c r="AC47" s="108">
        <v>80.38</v>
      </c>
      <c r="AD47" s="109"/>
      <c r="AE47" s="14">
        <v>0.97445999999999999</v>
      </c>
      <c r="AF47" s="12">
        <v>0.96831999999999996</v>
      </c>
      <c r="AG47" s="12">
        <v>0.96704000000000001</v>
      </c>
      <c r="AI47" s="730">
        <v>0.996</v>
      </c>
      <c r="AJ47" s="731">
        <v>2.72</v>
      </c>
    </row>
    <row r="48" spans="1:36" ht="18.75" customHeight="1" x14ac:dyDescent="0.2">
      <c r="A48" s="34"/>
      <c r="B48" s="143" t="s">
        <v>129</v>
      </c>
      <c r="C48" s="149">
        <v>27</v>
      </c>
      <c r="E48" s="615" t="s">
        <v>836</v>
      </c>
      <c r="F48" s="616">
        <f>IF(F47="","",IF(F45=20,F47+(E51*(F46-20)^2+F51*(F46-20)),1.0081*(F47+(E51*(F46-20)^2+F51*(F46-20)))))</f>
        <v>14.737233818749999</v>
      </c>
      <c r="G48" s="145" t="s">
        <v>130</v>
      </c>
      <c r="H48" s="146" t="s">
        <v>131</v>
      </c>
      <c r="I48" s="975" t="s">
        <v>132</v>
      </c>
      <c r="J48" s="975"/>
      <c r="K48" s="160" t="s">
        <v>824</v>
      </c>
      <c r="L48" s="151"/>
      <c r="N48" s="168" t="s">
        <v>142</v>
      </c>
      <c r="U48" s="34"/>
      <c r="AA48" s="20">
        <v>44</v>
      </c>
      <c r="AB48" s="21">
        <v>22</v>
      </c>
      <c r="AC48" s="22">
        <v>79.930000000000007</v>
      </c>
      <c r="AD48" s="23"/>
      <c r="AE48" s="14">
        <v>0.97394999999999998</v>
      </c>
      <c r="AF48" s="12">
        <v>0.96762999999999999</v>
      </c>
      <c r="AG48" s="12">
        <v>0.96630000000000005</v>
      </c>
      <c r="AI48" s="730">
        <v>0.99590000000000001</v>
      </c>
      <c r="AJ48" s="731">
        <v>2.79</v>
      </c>
    </row>
    <row r="49" spans="1:36" ht="18.75" customHeight="1" thickBot="1" x14ac:dyDescent="0.25">
      <c r="A49" s="163" t="s">
        <v>134</v>
      </c>
      <c r="B49" s="164"/>
      <c r="C49" s="152">
        <v>0</v>
      </c>
      <c r="E49" s="150" t="s">
        <v>135</v>
      </c>
      <c r="F49" s="165">
        <v>0.995</v>
      </c>
      <c r="G49" s="145" t="s">
        <v>136</v>
      </c>
      <c r="H49" s="146" t="s">
        <v>137</v>
      </c>
      <c r="I49" s="963" t="s">
        <v>138</v>
      </c>
      <c r="J49" s="963"/>
      <c r="K49" s="166">
        <f>IF(K48="yes",K46-((K44-(K44*(K45/100)))*0.56),K46)</f>
        <v>5.5859999999999994</v>
      </c>
      <c r="L49" s="176"/>
      <c r="N49" s="168" t="s">
        <v>145</v>
      </c>
      <c r="U49" s="34"/>
      <c r="AA49" s="20">
        <v>45</v>
      </c>
      <c r="AB49" s="21">
        <v>22.5</v>
      </c>
      <c r="AC49" s="108">
        <v>79.48</v>
      </c>
      <c r="AD49" s="109"/>
      <c r="AE49" s="14">
        <v>0.97343999999999997</v>
      </c>
      <c r="AF49" s="12">
        <v>0.96693499999999999</v>
      </c>
      <c r="AG49" s="12">
        <v>0.96555500000000005</v>
      </c>
      <c r="AI49" s="730">
        <v>0.99580000000000002</v>
      </c>
      <c r="AJ49" s="731">
        <v>2.86</v>
      </c>
    </row>
    <row r="50" spans="1:36" ht="18.75" customHeight="1" thickTop="1" x14ac:dyDescent="0.2">
      <c r="A50" s="169" t="s">
        <v>140</v>
      </c>
      <c r="B50" s="164"/>
      <c r="C50" s="152">
        <v>10</v>
      </c>
      <c r="D50" s="34"/>
      <c r="E50" s="615" t="s">
        <v>837</v>
      </c>
      <c r="F50" s="197">
        <f>IF(F49="","",IF(F45=20,F49*(0.000004*F46^2+0.000008*F46+0.9983),1.00081*(F49*(0.000004*F46^2+0.000008*F46+0.9983))))</f>
        <v>0.99432339999999997</v>
      </c>
      <c r="H50" s="34"/>
      <c r="I50" s="964" t="s">
        <v>141</v>
      </c>
      <c r="J50" s="964"/>
      <c r="K50" s="170">
        <v>0</v>
      </c>
      <c r="L50" s="151"/>
      <c r="AA50" s="20">
        <v>46</v>
      </c>
      <c r="AB50" s="21">
        <v>23</v>
      </c>
      <c r="AC50" s="22">
        <v>79.03</v>
      </c>
      <c r="AD50" s="23"/>
      <c r="AE50" s="14">
        <v>0.97297999999999996</v>
      </c>
      <c r="AF50" s="12">
        <v>0.96623999999999999</v>
      </c>
      <c r="AG50" s="12">
        <v>0.96480999999999995</v>
      </c>
      <c r="AI50" s="730">
        <v>0.99570000000000003</v>
      </c>
      <c r="AJ50" s="731">
        <v>2.93</v>
      </c>
    </row>
    <row r="51" spans="1:36" ht="18.75" customHeight="1" x14ac:dyDescent="0.2">
      <c r="A51" s="615" t="s">
        <v>143</v>
      </c>
      <c r="B51" s="169"/>
      <c r="C51" s="616">
        <f>C47*(POWER(10,$C44-(1.81+((C45-10)*0.02)+((C46-20)*0.031))))*(C50/100+1)</f>
        <v>39.580627230609345</v>
      </c>
      <c r="D51" s="171"/>
      <c r="E51" s="172">
        <f>1.4525*(10^-7*F47^2)-2.5256*(10^-5*F47)+(0.0012495)</f>
        <v>9.0334124999999986E-4</v>
      </c>
      <c r="F51" s="172">
        <f>-6.6927*(10^-6*F47^2)+9.6012*(10^-4*F47)+(0.044174)</f>
        <v>5.7069942499999998E-2</v>
      </c>
      <c r="G51" s="173"/>
      <c r="H51" s="174"/>
      <c r="I51" s="965" t="s">
        <v>144</v>
      </c>
      <c r="J51" s="965"/>
      <c r="K51" s="175">
        <v>27</v>
      </c>
      <c r="L51" s="151"/>
      <c r="AA51" s="20">
        <v>47</v>
      </c>
      <c r="AB51" s="21">
        <v>23.5</v>
      </c>
      <c r="AC51" s="108">
        <v>78.58</v>
      </c>
      <c r="AD51" s="109"/>
      <c r="AE51" s="14">
        <v>0.97241</v>
      </c>
      <c r="AF51" s="12">
        <v>0.96553500000000003</v>
      </c>
      <c r="AG51" s="12">
        <v>0.96404999999999996</v>
      </c>
      <c r="AI51" s="730">
        <v>0.99560000000000004</v>
      </c>
      <c r="AJ51" s="731">
        <v>3</v>
      </c>
    </row>
    <row r="52" spans="1:36" ht="18.75" customHeight="1" x14ac:dyDescent="0.2">
      <c r="A52" s="615" t="s">
        <v>146</v>
      </c>
      <c r="B52" s="615"/>
      <c r="C52" s="616">
        <f>((C51-C49)*C48)/576</f>
        <v>1.8553419014348131</v>
      </c>
      <c r="D52" s="169"/>
      <c r="E52" s="177"/>
      <c r="F52" s="178"/>
      <c r="G52" s="179"/>
      <c r="I52" s="966" t="s">
        <v>147</v>
      </c>
      <c r="J52" s="966"/>
      <c r="K52" s="180">
        <f>IF(K50="","",K50*K51)</f>
        <v>0</v>
      </c>
      <c r="L52" s="151"/>
      <c r="M52" s="186"/>
      <c r="N52" s="967" t="s">
        <v>153</v>
      </c>
      <c r="O52" s="967"/>
      <c r="P52" s="967"/>
      <c r="Q52" s="967"/>
      <c r="R52" s="967"/>
      <c r="AA52" s="20">
        <v>48</v>
      </c>
      <c r="AB52" s="21">
        <v>24</v>
      </c>
      <c r="AC52" s="22">
        <v>78.14</v>
      </c>
      <c r="AD52" s="23"/>
      <c r="AE52" s="14">
        <v>0.97189000000000003</v>
      </c>
      <c r="AF52" s="12">
        <v>0.96482999999999997</v>
      </c>
      <c r="AG52" s="12">
        <v>0.96328999999999998</v>
      </c>
      <c r="AI52" s="730">
        <v>0.99550000000000005</v>
      </c>
      <c r="AJ52" s="731">
        <v>3.07</v>
      </c>
    </row>
    <row r="53" spans="1:36" ht="18.75" customHeight="1" thickBot="1" x14ac:dyDescent="0.3">
      <c r="A53" s="615" t="s">
        <v>148</v>
      </c>
      <c r="B53" s="169"/>
      <c r="C53" s="616">
        <f>C52/10*100</f>
        <v>18.553419014348133</v>
      </c>
      <c r="D53" s="181"/>
      <c r="I53" s="182" t="s">
        <v>149</v>
      </c>
      <c r="J53" s="183"/>
      <c r="K53" s="184">
        <f>IF(K49=0,K46+K50,K49+K50)</f>
        <v>5.5859999999999994</v>
      </c>
      <c r="L53" s="188"/>
      <c r="N53" s="968"/>
      <c r="O53" s="968"/>
      <c r="P53" s="526"/>
      <c r="Q53" s="969" t="s">
        <v>158</v>
      </c>
      <c r="R53" s="971"/>
      <c r="AA53" s="20">
        <v>49</v>
      </c>
      <c r="AB53" s="21">
        <v>24.5</v>
      </c>
      <c r="AC53" s="108">
        <v>77.69</v>
      </c>
      <c r="AD53" s="109"/>
      <c r="AE53" s="14">
        <v>0.97136999999999996</v>
      </c>
      <c r="AF53" s="12">
        <v>0.96411000000000002</v>
      </c>
      <c r="AG53" s="12">
        <v>0.96252499999999996</v>
      </c>
      <c r="AI53" s="730">
        <v>0.99540000000000095</v>
      </c>
      <c r="AJ53" s="731">
        <v>3.14</v>
      </c>
    </row>
    <row r="54" spans="1:36" ht="18.75" customHeight="1" thickTop="1" thickBot="1" x14ac:dyDescent="0.3">
      <c r="A54" s="525" t="s">
        <v>150</v>
      </c>
      <c r="B54" s="525"/>
      <c r="C54" s="185" t="s">
        <v>151</v>
      </c>
      <c r="E54" s="913" t="s">
        <v>152</v>
      </c>
      <c r="F54" s="913"/>
      <c r="G54" s="913"/>
      <c r="H54" s="913"/>
      <c r="I54" s="985"/>
      <c r="J54" s="985"/>
      <c r="N54" s="986" t="s">
        <v>157</v>
      </c>
      <c r="O54" s="986"/>
      <c r="P54" s="590" t="s">
        <v>825</v>
      </c>
      <c r="Q54" s="970"/>
      <c r="R54" s="971"/>
      <c r="AA54" s="20">
        <v>50</v>
      </c>
      <c r="AB54" s="21">
        <v>25</v>
      </c>
      <c r="AC54" s="22">
        <v>77.239999999999995</v>
      </c>
      <c r="AD54" s="23"/>
      <c r="AE54" s="14">
        <v>0.97084000000000004</v>
      </c>
      <c r="AF54" s="12">
        <v>0.96338999999999997</v>
      </c>
      <c r="AG54" s="12">
        <v>0.96175999999999995</v>
      </c>
      <c r="AI54" s="730">
        <v>0.99530000000000096</v>
      </c>
      <c r="AJ54" s="731">
        <v>3.21</v>
      </c>
    </row>
    <row r="55" spans="1:36" ht="18.75" customHeight="1" thickTop="1" x14ac:dyDescent="0.25">
      <c r="A55" s="987" t="s">
        <v>154</v>
      </c>
      <c r="B55" s="987"/>
      <c r="C55" s="185" t="s">
        <v>155</v>
      </c>
      <c r="E55" s="67"/>
      <c r="F55" s="67" t="s">
        <v>156</v>
      </c>
      <c r="G55" s="122">
        <v>5000</v>
      </c>
      <c r="H55" s="187">
        <f>IF(G55="","",G55/1000)</f>
        <v>5</v>
      </c>
      <c r="I55" s="9"/>
      <c r="N55" s="192">
        <v>1</v>
      </c>
      <c r="O55" s="591" t="s">
        <v>94</v>
      </c>
      <c r="P55" s="207">
        <v>1</v>
      </c>
      <c r="Q55" s="193" t="s">
        <v>166</v>
      </c>
      <c r="R55" s="36"/>
      <c r="AA55" s="20">
        <v>51</v>
      </c>
      <c r="AB55" s="21">
        <v>25.5</v>
      </c>
      <c r="AC55" s="22">
        <v>76.790000000000006</v>
      </c>
      <c r="AD55" s="23"/>
      <c r="AE55" s="14">
        <v>0.97030000000000005</v>
      </c>
      <c r="AF55" s="12">
        <v>0.96264499999999997</v>
      </c>
      <c r="AG55" s="12">
        <v>0.96096999999999999</v>
      </c>
      <c r="AI55" s="730">
        <v>0.99520000000000097</v>
      </c>
      <c r="AJ55" s="731">
        <v>3.28</v>
      </c>
    </row>
    <row r="56" spans="1:36" ht="18.75" customHeight="1" thickBot="1" x14ac:dyDescent="0.3">
      <c r="E56" s="67"/>
      <c r="F56" s="67" t="s">
        <v>159</v>
      </c>
      <c r="G56" s="154">
        <v>50</v>
      </c>
      <c r="H56" s="189" t="s">
        <v>160</v>
      </c>
      <c r="I56" s="9"/>
      <c r="J56" s="913" t="s">
        <v>161</v>
      </c>
      <c r="K56" s="913"/>
      <c r="L56" s="534"/>
      <c r="N56" s="198">
        <v>2</v>
      </c>
      <c r="O56" s="592" t="s">
        <v>40</v>
      </c>
      <c r="P56" s="207">
        <v>1.2</v>
      </c>
      <c r="Q56" s="200" t="s">
        <v>170</v>
      </c>
      <c r="R56" s="36"/>
      <c r="AA56" s="20">
        <v>52</v>
      </c>
      <c r="AB56" s="21">
        <v>26</v>
      </c>
      <c r="AC56" s="22">
        <v>76.34</v>
      </c>
      <c r="AD56" s="23"/>
      <c r="AE56" s="14">
        <v>0.96970000000000001</v>
      </c>
      <c r="AF56" s="12">
        <v>0.96189999999999998</v>
      </c>
      <c r="AG56" s="12">
        <v>0.96018000000000003</v>
      </c>
      <c r="AI56" s="730">
        <v>0.99510000000000098</v>
      </c>
      <c r="AJ56" s="731">
        <v>3.35</v>
      </c>
    </row>
    <row r="57" spans="1:36" ht="18.75" customHeight="1" thickTop="1" thickBot="1" x14ac:dyDescent="0.3">
      <c r="A57" s="190"/>
      <c r="B57" s="191" t="s">
        <v>162</v>
      </c>
      <c r="C57" s="190"/>
      <c r="E57" s="67"/>
      <c r="F57" s="67" t="s">
        <v>163</v>
      </c>
      <c r="G57" s="154">
        <v>10</v>
      </c>
      <c r="H57" s="9"/>
      <c r="I57" s="9"/>
      <c r="J57" s="988" t="s">
        <v>164</v>
      </c>
      <c r="K57" s="989" t="s">
        <v>165</v>
      </c>
      <c r="L57" s="29"/>
      <c r="N57" s="198">
        <v>3</v>
      </c>
      <c r="O57" s="592" t="s">
        <v>96</v>
      </c>
      <c r="P57" s="207">
        <v>1.67</v>
      </c>
      <c r="Q57" s="200" t="s">
        <v>171</v>
      </c>
      <c r="R57" s="36"/>
      <c r="S57" s="522"/>
      <c r="T57" s="522"/>
      <c r="U57" s="522"/>
      <c r="V57" s="522"/>
      <c r="W57" s="522"/>
      <c r="X57" s="522"/>
      <c r="Y57" s="522"/>
      <c r="AA57" s="20">
        <v>53</v>
      </c>
      <c r="AB57" s="21">
        <v>26.5</v>
      </c>
      <c r="AC57" s="22">
        <v>75.89</v>
      </c>
      <c r="AD57" s="23"/>
      <c r="AE57" s="14">
        <v>0.96919999999999995</v>
      </c>
      <c r="AF57" s="12">
        <v>0.96113499999999996</v>
      </c>
      <c r="AG57" s="12">
        <v>0.95936999999999995</v>
      </c>
      <c r="AI57" s="730">
        <v>0.99500000000000099</v>
      </c>
      <c r="AJ57" s="731">
        <v>3.43</v>
      </c>
    </row>
    <row r="58" spans="1:36" ht="18.75" customHeight="1" thickTop="1" x14ac:dyDescent="0.25">
      <c r="A58" s="194" t="s">
        <v>167</v>
      </c>
      <c r="B58" s="990">
        <v>28</v>
      </c>
      <c r="C58" s="195" t="s">
        <v>168</v>
      </c>
      <c r="E58" s="615"/>
      <c r="F58" s="617" t="s">
        <v>169</v>
      </c>
      <c r="G58" s="197">
        <f>IF(G55="","",G56*G55*0.0001/G57)</f>
        <v>2.5</v>
      </c>
      <c r="H58" s="9"/>
      <c r="I58" s="34"/>
      <c r="J58" s="988"/>
      <c r="K58" s="989"/>
      <c r="L58" s="29"/>
      <c r="N58" s="198">
        <v>4</v>
      </c>
      <c r="O58" s="199">
        <v>43</v>
      </c>
      <c r="P58" s="207">
        <v>1</v>
      </c>
      <c r="Q58" s="208" t="s">
        <v>166</v>
      </c>
      <c r="R58" s="36"/>
      <c r="S58" s="976" t="s">
        <v>174</v>
      </c>
      <c r="T58" s="976"/>
      <c r="U58" s="976"/>
      <c r="V58" s="976"/>
      <c r="W58" s="976"/>
      <c r="X58" s="976"/>
      <c r="Y58" s="976"/>
      <c r="AA58" s="20">
        <v>54</v>
      </c>
      <c r="AB58" s="21">
        <v>27</v>
      </c>
      <c r="AC58" s="22">
        <v>75.44</v>
      </c>
      <c r="AD58" s="23"/>
      <c r="AE58" s="14">
        <v>0.96870000000000001</v>
      </c>
      <c r="AF58" s="12">
        <v>0.96036999999999995</v>
      </c>
      <c r="AG58" s="12">
        <v>0.95855999999999997</v>
      </c>
      <c r="AI58" s="730">
        <v>0.99490000000000101</v>
      </c>
      <c r="AJ58" s="731">
        <v>3.5</v>
      </c>
    </row>
    <row r="59" spans="1:36" ht="18.75" customHeight="1" x14ac:dyDescent="0.2">
      <c r="A59" s="201">
        <f>(B58-32)*5/9</f>
        <v>-2.2222222222222223</v>
      </c>
      <c r="B59" s="978"/>
      <c r="C59" s="202">
        <f>B58*9/5+32</f>
        <v>82.4</v>
      </c>
      <c r="J59" s="203">
        <v>12.5</v>
      </c>
      <c r="K59" s="107">
        <f>IF(J59="","",-0.035*J59^2+0.215*J59-2.54)</f>
        <v>-5.3212500000000009</v>
      </c>
      <c r="L59" s="29"/>
      <c r="N59" s="198">
        <v>5</v>
      </c>
      <c r="O59" s="199">
        <v>3001</v>
      </c>
      <c r="P59" s="207">
        <v>1.43</v>
      </c>
      <c r="Q59" s="208" t="s">
        <v>921</v>
      </c>
      <c r="R59" s="36"/>
      <c r="S59" s="9" t="s">
        <v>177</v>
      </c>
      <c r="T59" s="212"/>
      <c r="AA59" s="20">
        <v>55</v>
      </c>
      <c r="AB59" s="21">
        <v>27.5</v>
      </c>
      <c r="AC59" s="22">
        <v>74.98</v>
      </c>
      <c r="AD59" s="23"/>
      <c r="AE59" s="14">
        <v>0.96809999999999996</v>
      </c>
      <c r="AF59" s="12">
        <v>0.95958500000000002</v>
      </c>
      <c r="AG59" s="12">
        <v>0.95772500000000005</v>
      </c>
      <c r="AI59" s="730">
        <v>0.99480000000000102</v>
      </c>
      <c r="AJ59" s="731">
        <v>3.57</v>
      </c>
    </row>
    <row r="60" spans="1:36" ht="18.75" customHeight="1" x14ac:dyDescent="0.25">
      <c r="A60" s="204" t="s">
        <v>172</v>
      </c>
      <c r="B60" s="977">
        <v>3.7850000000000001</v>
      </c>
      <c r="C60" s="205" t="s">
        <v>173</v>
      </c>
      <c r="E60" s="206"/>
      <c r="F60" s="206"/>
      <c r="N60" s="198">
        <v>6</v>
      </c>
      <c r="O60" s="199">
        <v>4600</v>
      </c>
      <c r="P60" s="207">
        <v>1</v>
      </c>
      <c r="Q60" s="208" t="s">
        <v>166</v>
      </c>
      <c r="R60" s="36"/>
      <c r="S60" s="979" t="s">
        <v>826</v>
      </c>
      <c r="T60" s="979"/>
      <c r="U60" s="979"/>
      <c r="V60" s="979"/>
      <c r="W60" s="979"/>
      <c r="X60" s="979"/>
      <c r="Y60" s="979"/>
      <c r="AA60" s="20">
        <v>56</v>
      </c>
      <c r="AB60" s="21">
        <v>28</v>
      </c>
      <c r="AC60" s="22">
        <v>74.53</v>
      </c>
      <c r="AD60" s="23"/>
      <c r="AE60" s="14">
        <v>0.96760000000000002</v>
      </c>
      <c r="AF60" s="12">
        <v>0.95879999999999999</v>
      </c>
      <c r="AG60" s="12">
        <v>0.95689000000000002</v>
      </c>
      <c r="AI60" s="730">
        <v>0.99470000000000103</v>
      </c>
      <c r="AJ60" s="731">
        <v>3.64</v>
      </c>
    </row>
    <row r="61" spans="1:36" ht="18.75" customHeight="1" thickBot="1" x14ac:dyDescent="0.25">
      <c r="A61" s="209">
        <f>B60*3.785</f>
        <v>14.326225000000001</v>
      </c>
      <c r="B61" s="978"/>
      <c r="C61" s="210">
        <f>B60/3.785</f>
        <v>1</v>
      </c>
      <c r="E61" s="980" t="s">
        <v>175</v>
      </c>
      <c r="F61" s="980"/>
      <c r="G61" s="211"/>
      <c r="H61" s="981" t="s">
        <v>176</v>
      </c>
      <c r="I61" s="981"/>
      <c r="J61" s="981"/>
      <c r="K61" s="981"/>
      <c r="L61" s="224"/>
      <c r="M61" s="3"/>
      <c r="N61" s="198">
        <v>7</v>
      </c>
      <c r="O61" s="225" t="s">
        <v>186</v>
      </c>
      <c r="P61" s="207">
        <v>1.2</v>
      </c>
      <c r="Q61" s="208" t="s">
        <v>170</v>
      </c>
      <c r="R61" s="36"/>
      <c r="S61" s="979"/>
      <c r="T61" s="979"/>
      <c r="U61" s="979"/>
      <c r="V61" s="979"/>
      <c r="W61" s="979"/>
      <c r="X61" s="979"/>
      <c r="Y61" s="979"/>
      <c r="AA61" s="20">
        <v>57</v>
      </c>
      <c r="AB61" s="21">
        <v>28.5</v>
      </c>
      <c r="AC61" s="22">
        <v>74.08</v>
      </c>
      <c r="AD61" s="23"/>
      <c r="AE61" s="14">
        <v>0.96699999999999997</v>
      </c>
      <c r="AF61" s="12">
        <v>0.95798499999999998</v>
      </c>
      <c r="AG61" s="12">
        <v>0.95604500000000003</v>
      </c>
      <c r="AI61" s="730">
        <v>0.99460000000000104</v>
      </c>
      <c r="AJ61" s="731">
        <v>3.71</v>
      </c>
    </row>
    <row r="62" spans="1:36" ht="18.75" customHeight="1" thickTop="1" thickBot="1" x14ac:dyDescent="0.3">
      <c r="A62" s="204" t="s">
        <v>178</v>
      </c>
      <c r="B62" s="982">
        <v>24</v>
      </c>
      <c r="C62" s="213" t="s">
        <v>179</v>
      </c>
      <c r="E62" s="980"/>
      <c r="F62" s="980"/>
      <c r="G62" s="214"/>
      <c r="H62" s="215" t="s">
        <v>180</v>
      </c>
      <c r="I62" s="216" t="s">
        <v>181</v>
      </c>
      <c r="J62" s="217" t="s">
        <v>182</v>
      </c>
      <c r="K62" s="218" t="s">
        <v>183</v>
      </c>
      <c r="L62" s="229"/>
      <c r="M62" s="3"/>
      <c r="N62" s="198">
        <v>8</v>
      </c>
      <c r="O62" s="225" t="s">
        <v>81</v>
      </c>
      <c r="P62" s="207">
        <v>1</v>
      </c>
      <c r="Q62" s="208" t="s">
        <v>166</v>
      </c>
      <c r="R62" s="593">
        <v>1</v>
      </c>
      <c r="S62" s="984" t="s">
        <v>827</v>
      </c>
      <c r="T62" s="984"/>
      <c r="U62" s="984"/>
      <c r="V62" s="984"/>
      <c r="W62" s="984"/>
      <c r="X62" s="984"/>
      <c r="Y62" s="984"/>
      <c r="AA62" s="20">
        <v>58</v>
      </c>
      <c r="AB62" s="21">
        <v>29</v>
      </c>
      <c r="AC62" s="22">
        <v>73.62</v>
      </c>
      <c r="AD62" s="23"/>
      <c r="AE62" s="14">
        <v>0.96640000000000004</v>
      </c>
      <c r="AF62" s="12">
        <v>0.95716999999999997</v>
      </c>
      <c r="AG62" s="12">
        <v>0.95520000000000005</v>
      </c>
      <c r="AI62" s="730">
        <v>0.99450000000000105</v>
      </c>
      <c r="AJ62" s="731">
        <v>3.78</v>
      </c>
    </row>
    <row r="63" spans="1:36" ht="18.75" customHeight="1" thickTop="1" x14ac:dyDescent="0.2">
      <c r="A63" s="209">
        <f>0.00000005785037196*B62^3+0.00001261831344*B62^2+0.003873042366*B62+0.9999994636</f>
        <v>1.1010203524674151</v>
      </c>
      <c r="B63" s="983"/>
      <c r="C63" s="202">
        <f>182.4601*B62^3-775.6821*B62^2+1262.7794*B62-669.5622</f>
        <v>2105172.6762000001</v>
      </c>
      <c r="D63" s="219">
        <f>1.4525*(10^-7*F64^2)-2.5256*(10^-5*F64)+(0.0012495)</f>
        <v>8.4195299999999989E-4</v>
      </c>
      <c r="E63" s="67" t="s">
        <v>184</v>
      </c>
      <c r="F63" s="220">
        <v>22.6</v>
      </c>
      <c r="G63" s="221" t="s">
        <v>185</v>
      </c>
      <c r="H63" s="222">
        <v>160</v>
      </c>
      <c r="I63" s="223"/>
      <c r="J63" s="616">
        <f>ABS(H65-I64)</f>
        <v>60</v>
      </c>
      <c r="K63" s="616">
        <f>J63/(J63+J65)*K66</f>
        <v>281.25</v>
      </c>
      <c r="L63" s="229"/>
      <c r="M63" s="3"/>
      <c r="N63" s="198">
        <v>9</v>
      </c>
      <c r="O63" s="225" t="s">
        <v>191</v>
      </c>
      <c r="P63" s="207">
        <v>1</v>
      </c>
      <c r="Q63" s="208" t="s">
        <v>166</v>
      </c>
      <c r="R63" s="593"/>
      <c r="S63" s="514"/>
      <c r="T63" s="212"/>
      <c r="AA63" s="20">
        <v>59</v>
      </c>
      <c r="AB63" s="21">
        <v>29.5</v>
      </c>
      <c r="AC63" s="22">
        <v>73.17</v>
      </c>
      <c r="AD63" s="23"/>
      <c r="AE63" s="14">
        <v>0.96589999999999998</v>
      </c>
      <c r="AF63" s="12">
        <v>0.95633999999999997</v>
      </c>
      <c r="AG63" s="12">
        <v>0.95432499999999998</v>
      </c>
      <c r="AI63" s="730">
        <v>0.99440000000000095</v>
      </c>
      <c r="AJ63" s="731">
        <v>3.85</v>
      </c>
    </row>
    <row r="64" spans="1:36" ht="18.75" customHeight="1" x14ac:dyDescent="0.25">
      <c r="A64" s="204" t="s">
        <v>160</v>
      </c>
      <c r="B64" s="991">
        <v>15</v>
      </c>
      <c r="C64" s="205" t="s">
        <v>187</v>
      </c>
      <c r="D64" s="219">
        <f>-6.6927*(10^-6*F64^2)+9.6012*(10^-4*F64)+(0.044174)</f>
        <v>5.9287725200000002E-2</v>
      </c>
      <c r="E64" s="67" t="s">
        <v>188</v>
      </c>
      <c r="F64" s="149">
        <v>18</v>
      </c>
      <c r="G64" s="196"/>
      <c r="H64" s="223"/>
      <c r="I64" s="226">
        <v>60</v>
      </c>
      <c r="J64" s="227"/>
      <c r="K64" s="228"/>
      <c r="L64" s="238"/>
      <c r="M64" s="3"/>
      <c r="N64" s="198">
        <v>10</v>
      </c>
      <c r="O64" s="225" t="s">
        <v>196</v>
      </c>
      <c r="P64" s="207">
        <v>1.67</v>
      </c>
      <c r="Q64" s="208" t="s">
        <v>171</v>
      </c>
      <c r="R64" s="593"/>
      <c r="S64" s="514"/>
      <c r="T64" s="212"/>
      <c r="AA64" s="20">
        <v>60</v>
      </c>
      <c r="AB64" s="21">
        <v>30</v>
      </c>
      <c r="AC64" s="22">
        <v>72.72</v>
      </c>
      <c r="AD64" s="23"/>
      <c r="AE64" s="14">
        <v>0.96530000000000005</v>
      </c>
      <c r="AF64" s="12">
        <v>0.95550999999999997</v>
      </c>
      <c r="AG64" s="12">
        <v>0.95345000000000002</v>
      </c>
      <c r="AI64" s="730">
        <v>0.99430000000000096</v>
      </c>
      <c r="AJ64" s="731">
        <v>3.92</v>
      </c>
    </row>
    <row r="65" spans="1:36" s="34" customFormat="1" ht="18.75" customHeight="1" thickBot="1" x14ac:dyDescent="0.25">
      <c r="A65" s="209">
        <f>B64*0.12</f>
        <v>1.7999999999999998</v>
      </c>
      <c r="B65" s="992"/>
      <c r="C65" s="230">
        <f>B64*8.333</f>
        <v>124.995</v>
      </c>
      <c r="E65" s="615" t="s">
        <v>189</v>
      </c>
      <c r="F65" s="616">
        <f>IF(F63&gt;0,-676.67+1286.4*F66-800.47*(F66^2)+190.74*(F66^3),0)</f>
        <v>14.520978139072184</v>
      </c>
      <c r="G65" s="221" t="s">
        <v>190</v>
      </c>
      <c r="H65" s="222">
        <v>0</v>
      </c>
      <c r="I65" s="231"/>
      <c r="J65" s="616">
        <f>ABS(I64-H63)</f>
        <v>100</v>
      </c>
      <c r="K65" s="616">
        <f>J65/(J63+J65)*K66</f>
        <v>468.75</v>
      </c>
      <c r="L65" s="229"/>
      <c r="M65" s="3"/>
      <c r="N65" s="198">
        <v>11</v>
      </c>
      <c r="O65" s="241" t="s">
        <v>198</v>
      </c>
      <c r="P65" s="207">
        <v>1.2</v>
      </c>
      <c r="Q65" s="208" t="s">
        <v>170</v>
      </c>
      <c r="R65" s="527"/>
      <c r="S65" s="242" t="s">
        <v>199</v>
      </c>
      <c r="T65" s="243"/>
      <c r="AA65" s="20">
        <v>61</v>
      </c>
      <c r="AB65" s="21">
        <v>30.5</v>
      </c>
      <c r="AC65" s="22">
        <v>72.260000000000005</v>
      </c>
      <c r="AD65" s="23"/>
      <c r="AE65" s="14">
        <v>0.9647</v>
      </c>
      <c r="AF65" s="12">
        <v>0.95465999999999995</v>
      </c>
      <c r="AG65" s="12">
        <v>0.952565</v>
      </c>
      <c r="AI65" s="730">
        <v>0.99420000000000097</v>
      </c>
      <c r="AJ65" s="731">
        <v>3.99</v>
      </c>
    </row>
    <row r="66" spans="1:36" s="34" customFormat="1" ht="18.75" customHeight="1" thickTop="1" x14ac:dyDescent="0.2">
      <c r="A66" s="232" t="s">
        <v>192</v>
      </c>
      <c r="B66" s="991">
        <v>1</v>
      </c>
      <c r="C66" s="233" t="s">
        <v>193</v>
      </c>
      <c r="E66" s="615" t="s">
        <v>194</v>
      </c>
      <c r="F66" s="197">
        <f>IF(F64&gt;0,(1.001843-0.002318474*(F63)-0.000007775*(F63^2)-0.000000034*(F63^3)+0.00574*(F64)+0.00003344*(F64^2)+0.000000086*(F64^3))+(1.313454-0.132674*F64+0.002057793*(F64^2)-0.000002627634*(F64^3))*0.001,0)</f>
        <v>1.0593146951865122</v>
      </c>
      <c r="G66" s="234"/>
      <c r="H66" s="235"/>
      <c r="I66" s="236"/>
      <c r="J66" s="237" t="s">
        <v>195</v>
      </c>
      <c r="K66" s="618">
        <v>750</v>
      </c>
      <c r="L66" s="147"/>
      <c r="M66" s="244"/>
      <c r="N66" s="198">
        <v>12</v>
      </c>
      <c r="O66" s="225" t="s">
        <v>201</v>
      </c>
      <c r="P66" s="207">
        <v>1.9</v>
      </c>
      <c r="Q66" s="208" t="s">
        <v>171</v>
      </c>
      <c r="R66" s="593">
        <v>1.9</v>
      </c>
      <c r="S66" s="245" t="s">
        <v>202</v>
      </c>
      <c r="T66" s="246"/>
      <c r="AA66" s="20">
        <v>62</v>
      </c>
      <c r="AB66" s="21">
        <v>31</v>
      </c>
      <c r="AC66" s="22">
        <v>71.81</v>
      </c>
      <c r="AD66" s="23"/>
      <c r="AE66" s="14">
        <v>0.96409999999999996</v>
      </c>
      <c r="AF66" s="12">
        <v>0.95381000000000005</v>
      </c>
      <c r="AG66" s="12">
        <v>0.95167999999999997</v>
      </c>
      <c r="AI66" s="730">
        <v>0.99410000000000098</v>
      </c>
      <c r="AJ66" s="731">
        <v>4.07</v>
      </c>
    </row>
    <row r="67" spans="1:36" s="34" customFormat="1" ht="18.75" customHeight="1" x14ac:dyDescent="0.2">
      <c r="A67" s="239">
        <f>0.4535924*B66</f>
        <v>0.45359240000000001</v>
      </c>
      <c r="B67" s="992"/>
      <c r="C67" s="240">
        <f>2.20162*B66</f>
        <v>2.2016200000000001</v>
      </c>
      <c r="E67" s="615" t="s">
        <v>197</v>
      </c>
      <c r="F67" s="616">
        <f>IF(F65="","",(1017.5596-(277.4*F66)+(1.33302+0.001427193*F64+0.000005791157*F64*F64)*((937.8135*(1.33302+0.001427193*F64+0.000005791157*F64*F64))-1805.1228))*(F66/0.794))</f>
        <v>5.0106948408232039</v>
      </c>
      <c r="G67" s="234"/>
      <c r="H67" s="235"/>
      <c r="I67" s="236"/>
      <c r="J67" s="237"/>
      <c r="K67" s="147"/>
      <c r="L67" s="147"/>
      <c r="M67" s="244"/>
      <c r="N67" s="198">
        <v>13</v>
      </c>
      <c r="O67" s="225" t="s">
        <v>208</v>
      </c>
      <c r="P67" s="207">
        <v>1.95</v>
      </c>
      <c r="Q67" s="208" t="s">
        <v>171</v>
      </c>
      <c r="R67" s="594">
        <v>1.95</v>
      </c>
      <c r="S67" s="245" t="s">
        <v>209</v>
      </c>
      <c r="T67" s="243"/>
      <c r="AA67" s="20">
        <v>63</v>
      </c>
      <c r="AB67" s="21">
        <v>31.5</v>
      </c>
      <c r="AC67" s="22">
        <v>71.349999999999994</v>
      </c>
      <c r="AD67" s="23"/>
      <c r="AE67" s="14">
        <v>0.96350000000000002</v>
      </c>
      <c r="AF67" s="12">
        <v>0.95294000000000001</v>
      </c>
      <c r="AG67" s="12">
        <v>0.95077</v>
      </c>
      <c r="AI67" s="730">
        <v>0.99400000000000099</v>
      </c>
      <c r="AJ67" s="731">
        <v>4.1399999999999997</v>
      </c>
    </row>
    <row r="68" spans="1:36" s="34" customFormat="1" ht="20.25" customHeight="1" thickBot="1" x14ac:dyDescent="0.25">
      <c r="G68" s="534"/>
      <c r="I68" s="993" t="s">
        <v>200</v>
      </c>
      <c r="J68" s="993"/>
      <c r="K68" s="993"/>
      <c r="L68" s="248"/>
      <c r="M68" s="244"/>
      <c r="N68" s="198">
        <v>14</v>
      </c>
      <c r="O68" s="241" t="s">
        <v>212</v>
      </c>
      <c r="P68" s="207">
        <v>1.2</v>
      </c>
      <c r="Q68" s="208" t="s">
        <v>170</v>
      </c>
      <c r="R68" s="352"/>
      <c r="S68" s="514" t="s">
        <v>213</v>
      </c>
      <c r="T68" s="243"/>
      <c r="AA68" s="20">
        <v>64</v>
      </c>
      <c r="AB68" s="21">
        <v>32</v>
      </c>
      <c r="AC68" s="22">
        <v>70.89</v>
      </c>
      <c r="AD68" s="23"/>
      <c r="AE68" s="14">
        <v>0.96289999999999998</v>
      </c>
      <c r="AF68" s="12">
        <v>0.95206999999999997</v>
      </c>
      <c r="AG68" s="12">
        <v>0.94986000000000004</v>
      </c>
      <c r="AI68" s="730">
        <v>0.993900000000001</v>
      </c>
      <c r="AJ68" s="731">
        <v>4.21</v>
      </c>
    </row>
    <row r="69" spans="1:36" s="34" customFormat="1" ht="18.75" customHeight="1" thickTop="1" thickBot="1" x14ac:dyDescent="0.25">
      <c r="A69" s="994" t="s">
        <v>203</v>
      </c>
      <c r="B69" s="994"/>
      <c r="C69" s="994"/>
      <c r="D69" s="534"/>
      <c r="E69" s="995" t="s">
        <v>204</v>
      </c>
      <c r="F69" s="995"/>
      <c r="G69" s="995"/>
      <c r="H69" s="247"/>
      <c r="I69" s="996" t="s">
        <v>205</v>
      </c>
      <c r="J69" s="997" t="s">
        <v>206</v>
      </c>
      <c r="K69" s="996" t="s">
        <v>207</v>
      </c>
      <c r="L69" s="251"/>
      <c r="M69" s="35"/>
      <c r="N69" s="198">
        <v>15</v>
      </c>
      <c r="O69" s="241" t="s">
        <v>216</v>
      </c>
      <c r="P69" s="207">
        <v>1.9</v>
      </c>
      <c r="Q69" s="208" t="s">
        <v>171</v>
      </c>
      <c r="R69" s="594">
        <v>1.9</v>
      </c>
      <c r="S69" s="252"/>
      <c r="AA69" s="20">
        <v>65</v>
      </c>
      <c r="AB69" s="21">
        <v>32.5</v>
      </c>
      <c r="AC69" s="22">
        <v>70.430000000000007</v>
      </c>
      <c r="AD69" s="23"/>
      <c r="AE69" s="14">
        <v>0.96230000000000004</v>
      </c>
      <c r="AF69" s="12">
        <v>0.95117499999999999</v>
      </c>
      <c r="AG69" s="12">
        <v>0.94894000000000001</v>
      </c>
      <c r="AI69" s="730">
        <v>0.99380000000000102</v>
      </c>
      <c r="AJ69" s="731">
        <v>4.28</v>
      </c>
    </row>
    <row r="70" spans="1:36" s="34" customFormat="1" ht="18.75" customHeight="1" thickTop="1" thickBot="1" x14ac:dyDescent="0.25">
      <c r="A70" s="998" t="s">
        <v>210</v>
      </c>
      <c r="B70" s="999" t="s">
        <v>206</v>
      </c>
      <c r="C70" s="998" t="s">
        <v>207</v>
      </c>
      <c r="D70" s="534"/>
      <c r="E70" s="1005" t="s">
        <v>211</v>
      </c>
      <c r="F70" s="1005"/>
      <c r="G70" s="1005"/>
      <c r="H70" s="247"/>
      <c r="I70" s="996"/>
      <c r="J70" s="997"/>
      <c r="K70" s="996"/>
      <c r="L70" s="251"/>
      <c r="M70" s="257"/>
      <c r="N70" s="198">
        <v>16</v>
      </c>
      <c r="O70" s="225" t="s">
        <v>218</v>
      </c>
      <c r="P70" s="207">
        <v>1.2</v>
      </c>
      <c r="Q70" s="208" t="s">
        <v>170</v>
      </c>
      <c r="R70" s="352"/>
      <c r="S70" s="252"/>
      <c r="AA70" s="20">
        <v>66</v>
      </c>
      <c r="AB70" s="21">
        <v>33</v>
      </c>
      <c r="AC70" s="22">
        <v>69.97</v>
      </c>
      <c r="AD70" s="23"/>
      <c r="AE70" s="14">
        <v>0.9617</v>
      </c>
      <c r="AF70" s="12">
        <v>0.95028000000000001</v>
      </c>
      <c r="AG70" s="12">
        <v>0.94801999999999997</v>
      </c>
      <c r="AI70" s="730">
        <v>0.99370000000000103</v>
      </c>
      <c r="AJ70" s="731">
        <v>4.3600000000000003</v>
      </c>
    </row>
    <row r="71" spans="1:36" s="34" customFormat="1" ht="18.75" customHeight="1" thickTop="1" thickBot="1" x14ac:dyDescent="0.25">
      <c r="A71" s="998"/>
      <c r="B71" s="999"/>
      <c r="C71" s="998"/>
      <c r="D71" s="249">
        <f>0.00000005785037196*E74^3+0.00001261831344*E74^2+0.003873042366*E74+0.9999994636</f>
        <v>0.99394966609142876</v>
      </c>
      <c r="E71" s="1006" t="s">
        <v>214</v>
      </c>
      <c r="F71" s="1007" t="s">
        <v>207</v>
      </c>
      <c r="G71" s="998" t="s">
        <v>215</v>
      </c>
      <c r="I71" s="250">
        <v>1.095</v>
      </c>
      <c r="J71" s="250">
        <v>1.052</v>
      </c>
      <c r="K71" s="616">
        <f>1000*((I71-J72)-J71)/(7.75-(30*((I71-J72)-1)/8))</f>
        <v>4.8517520215633461</v>
      </c>
      <c r="L71" s="251"/>
      <c r="M71" s="257"/>
      <c r="N71" s="198">
        <v>17</v>
      </c>
      <c r="O71" s="225" t="s">
        <v>221</v>
      </c>
      <c r="P71" s="207">
        <v>1.2</v>
      </c>
      <c r="Q71" s="208" t="s">
        <v>170</v>
      </c>
      <c r="R71" s="352"/>
      <c r="S71" s="246"/>
      <c r="AA71" s="20">
        <v>67</v>
      </c>
      <c r="AB71" s="21">
        <v>33.5</v>
      </c>
      <c r="AC71" s="22">
        <v>69.510000000000005</v>
      </c>
      <c r="AD71" s="23"/>
      <c r="AE71" s="14">
        <v>0.96099999999999997</v>
      </c>
      <c r="AF71" s="12">
        <v>0.94937499999999997</v>
      </c>
      <c r="AG71" s="12">
        <v>0.947075</v>
      </c>
      <c r="AI71" s="730">
        <v>0.99360000000000104</v>
      </c>
      <c r="AJ71" s="731">
        <v>4.43</v>
      </c>
    </row>
    <row r="72" spans="1:36" s="34" customFormat="1" ht="18.75" customHeight="1" thickTop="1" x14ac:dyDescent="0.2">
      <c r="A72" s="253">
        <v>0.99399999999999999</v>
      </c>
      <c r="B72" s="254">
        <v>1.0109999999999999</v>
      </c>
      <c r="C72" s="620">
        <f>0.0085*((B72-A72)*1000)^2+0.6233*((B72-A72)*1000)+0.001137</f>
        <v>13.053736999999913</v>
      </c>
      <c r="D72"/>
      <c r="E72" s="1006"/>
      <c r="F72" s="1007"/>
      <c r="G72" s="998"/>
      <c r="I72" s="619" t="s">
        <v>217</v>
      </c>
      <c r="J72" s="255">
        <v>7.0000000000000001E-3</v>
      </c>
      <c r="K72" s="256"/>
      <c r="L72" s="263"/>
      <c r="M72" s="244"/>
      <c r="N72" s="198">
        <v>18</v>
      </c>
      <c r="O72" s="225" t="s">
        <v>225</v>
      </c>
      <c r="P72" s="207">
        <v>1</v>
      </c>
      <c r="Q72" s="208" t="s">
        <v>166</v>
      </c>
      <c r="R72" s="595"/>
      <c r="S72" s="264"/>
      <c r="T72" s="252"/>
      <c r="V72" s="265"/>
      <c r="Z72" s="265"/>
      <c r="AA72" s="20">
        <v>68</v>
      </c>
      <c r="AB72" s="21">
        <v>34</v>
      </c>
      <c r="AC72" s="22">
        <v>69.05</v>
      </c>
      <c r="AD72" s="23"/>
      <c r="AE72" s="14">
        <v>0.96040000000000003</v>
      </c>
      <c r="AF72" s="12">
        <v>0.94847000000000004</v>
      </c>
      <c r="AG72" s="12">
        <v>0.94613000000000003</v>
      </c>
      <c r="AI72" s="730">
        <v>0.99350000000000105</v>
      </c>
      <c r="AJ72" s="731">
        <v>4.5</v>
      </c>
    </row>
    <row r="73" spans="1:36" s="34" customFormat="1" ht="18.75" customHeight="1" thickBot="1" x14ac:dyDescent="0.25">
      <c r="A73" s="258" t="s">
        <v>219</v>
      </c>
      <c r="B73" s="259"/>
      <c r="D73" s="260" t="s">
        <v>220</v>
      </c>
      <c r="E73" s="261">
        <v>0.99399999999999999</v>
      </c>
      <c r="F73" s="64">
        <v>14.4</v>
      </c>
      <c r="G73" s="616">
        <f>IF((2.8*F73-34.3)+(((E73-0.995)*1000)*2.51)&lt;=0,0,(2.8*F73-34.3)+(((E73-0.995)*1000)*2.51))</f>
        <v>3.5100000000000011</v>
      </c>
      <c r="I73" s="236"/>
      <c r="J73" s="237"/>
      <c r="K73" s="147"/>
      <c r="L73" s="147"/>
      <c r="M73" s="244"/>
      <c r="N73" s="198">
        <v>19</v>
      </c>
      <c r="O73" s="225" t="s">
        <v>228</v>
      </c>
      <c r="P73" s="207">
        <v>1.67</v>
      </c>
      <c r="Q73" s="208" t="s">
        <v>171</v>
      </c>
      <c r="R73" s="277"/>
      <c r="S73" s="264"/>
      <c r="T73" s="252"/>
      <c r="Z73" s="265"/>
      <c r="AA73" s="20">
        <v>69</v>
      </c>
      <c r="AB73" s="21">
        <v>34.5</v>
      </c>
      <c r="AC73" s="22">
        <v>68.59</v>
      </c>
      <c r="AD73" s="23"/>
      <c r="AE73" s="14">
        <v>0.9597</v>
      </c>
      <c r="AF73" s="12">
        <v>0.94754499999999997</v>
      </c>
      <c r="AG73" s="12">
        <v>0.94517499999999999</v>
      </c>
      <c r="AI73" s="730">
        <v>0.99340000000000095</v>
      </c>
      <c r="AJ73" s="731">
        <v>4.57</v>
      </c>
    </row>
    <row r="74" spans="1:36" s="34" customFormat="1" ht="18.75" customHeight="1" thickTop="1" thickBot="1" x14ac:dyDescent="0.25">
      <c r="A74" s="1008" t="s">
        <v>222</v>
      </c>
      <c r="B74" s="1008"/>
      <c r="C74" s="1008"/>
      <c r="D74" s="260" t="s">
        <v>223</v>
      </c>
      <c r="E74" s="76">
        <v>-1.57</v>
      </c>
      <c r="F74" s="262">
        <v>14.4</v>
      </c>
      <c r="G74" s="616">
        <f>IF((2.8*F74-34.3)+(((D71-0.995)*1000)*2.51)&lt;=0,0,(2.8*F74-34.3)+(((D71-0.995)*1000)*2.51))</f>
        <v>3.3836618894862096</v>
      </c>
      <c r="I74" s="993" t="s">
        <v>224</v>
      </c>
      <c r="J74" s="993"/>
      <c r="K74" s="993"/>
      <c r="L74" s="248"/>
      <c r="M74" s="244"/>
      <c r="N74" s="198">
        <v>20</v>
      </c>
      <c r="O74" s="225" t="s">
        <v>230</v>
      </c>
      <c r="P74" s="207">
        <v>1</v>
      </c>
      <c r="Q74" s="208" t="s">
        <v>166</v>
      </c>
      <c r="R74" s="352"/>
      <c r="S74" s="264"/>
      <c r="T74" s="252"/>
      <c r="Z74" s="265"/>
      <c r="AA74" s="20">
        <v>70</v>
      </c>
      <c r="AB74" s="21">
        <v>35</v>
      </c>
      <c r="AC74" s="22">
        <v>68.12</v>
      </c>
      <c r="AD74" s="23"/>
      <c r="AE74" s="14">
        <v>0.95899999999999996</v>
      </c>
      <c r="AF74" s="12">
        <v>0.94662000000000002</v>
      </c>
      <c r="AG74" s="12">
        <v>0.94421999999999995</v>
      </c>
      <c r="AI74" s="730">
        <v>0.99330000000000096</v>
      </c>
      <c r="AJ74" s="731">
        <v>4.6500000000000004</v>
      </c>
    </row>
    <row r="75" spans="1:36" s="34" customFormat="1" ht="18.75" customHeight="1" thickTop="1" thickBot="1" x14ac:dyDescent="0.25">
      <c r="A75" s="1008"/>
      <c r="B75" s="1008"/>
      <c r="C75" s="1008"/>
      <c r="E75" s="1000" t="s">
        <v>226</v>
      </c>
      <c r="F75" s="1000"/>
      <c r="G75" s="1000"/>
      <c r="I75" s="998" t="s">
        <v>227</v>
      </c>
      <c r="J75" s="1001" t="s">
        <v>206</v>
      </c>
      <c r="K75" s="1002" t="s">
        <v>207</v>
      </c>
      <c r="L75" s="267"/>
      <c r="M75" s="35"/>
      <c r="N75" s="198">
        <v>21</v>
      </c>
      <c r="O75" s="225" t="s">
        <v>231</v>
      </c>
      <c r="P75" s="207">
        <v>1.3</v>
      </c>
      <c r="Q75" s="208" t="s">
        <v>166</v>
      </c>
      <c r="R75" s="594">
        <v>1.3</v>
      </c>
      <c r="W75" s="265"/>
      <c r="X75" s="265"/>
      <c r="Y75" s="265"/>
      <c r="AA75" s="20">
        <v>71</v>
      </c>
      <c r="AB75" s="21">
        <v>35.5</v>
      </c>
      <c r="AC75" s="22">
        <v>67.66</v>
      </c>
      <c r="AD75" s="23"/>
      <c r="AE75" s="14">
        <v>0.95840000000000003</v>
      </c>
      <c r="AF75" s="12">
        <v>0.94567500000000004</v>
      </c>
      <c r="AG75" s="12">
        <v>0.943245</v>
      </c>
      <c r="AI75" s="730">
        <v>0.99320000000000097</v>
      </c>
      <c r="AJ75" s="731">
        <v>4.72</v>
      </c>
    </row>
    <row r="76" spans="1:36" s="34" customFormat="1" ht="18.75" customHeight="1" thickTop="1" thickBot="1" x14ac:dyDescent="0.25">
      <c r="A76" s="1008"/>
      <c r="B76" s="1008"/>
      <c r="C76" s="1008"/>
      <c r="D76" s="249">
        <f>0.00000005785037196*F79^3+0.00001261831344*F79^2+0.003873042366*F79+0.9999994636</f>
        <v>0.99383466174168289</v>
      </c>
      <c r="E76" s="1003" t="s">
        <v>229</v>
      </c>
      <c r="F76" s="1004" t="s">
        <v>214</v>
      </c>
      <c r="G76" s="998" t="s">
        <v>215</v>
      </c>
      <c r="I76" s="998"/>
      <c r="J76" s="1001"/>
      <c r="K76" s="1002"/>
      <c r="L76" s="267"/>
      <c r="N76" s="198">
        <v>22</v>
      </c>
      <c r="O76" s="269" t="s">
        <v>233</v>
      </c>
      <c r="P76" s="207">
        <v>1.2</v>
      </c>
      <c r="Q76" s="270" t="s">
        <v>170</v>
      </c>
      <c r="R76" s="362"/>
      <c r="W76" s="265"/>
      <c r="X76" s="265"/>
      <c r="Y76" s="265"/>
      <c r="AA76" s="20">
        <v>72</v>
      </c>
      <c r="AB76" s="21">
        <v>36</v>
      </c>
      <c r="AC76" s="22">
        <v>67.19</v>
      </c>
      <c r="AD76" s="23"/>
      <c r="AE76" s="14">
        <v>0.9577</v>
      </c>
      <c r="AF76" s="12">
        <v>0.94472999999999996</v>
      </c>
      <c r="AG76" s="12">
        <v>0.94227000000000005</v>
      </c>
      <c r="AI76" s="730">
        <v>0.99310000000000098</v>
      </c>
      <c r="AJ76" s="731">
        <v>4.79</v>
      </c>
    </row>
    <row r="77" spans="1:36" s="34" customFormat="1" ht="18.75" customHeight="1" thickTop="1" x14ac:dyDescent="0.2">
      <c r="A77" s="1008"/>
      <c r="B77" s="1008"/>
      <c r="C77" s="1008"/>
      <c r="D77" s="249">
        <f>0.00000005785037196*E79^3+0.00001261831344*E79^2+0.003873042366*E79+0.9999994636</f>
        <v>1.0950962966430946</v>
      </c>
      <c r="E77" s="1003"/>
      <c r="F77" s="1004"/>
      <c r="G77" s="998"/>
      <c r="I77" s="266">
        <v>7.8</v>
      </c>
      <c r="J77" s="250">
        <v>0.995</v>
      </c>
      <c r="K77" s="616">
        <f>(1.646*$I$77)-(2.703*(145-(145/$J$77)))-1.794</f>
        <v>13.014322613065319</v>
      </c>
      <c r="L77" s="267"/>
      <c r="M77" s="9"/>
      <c r="N77" s="198">
        <v>23</v>
      </c>
      <c r="O77" s="241" t="s">
        <v>236</v>
      </c>
      <c r="P77" s="207">
        <v>1.67</v>
      </c>
      <c r="Q77" s="208" t="s">
        <v>171</v>
      </c>
      <c r="R77" s="252"/>
      <c r="S77" s="252"/>
      <c r="Z77" s="265"/>
      <c r="AA77" s="20">
        <v>73</v>
      </c>
      <c r="AB77" s="21">
        <v>36.5</v>
      </c>
      <c r="AC77" s="22">
        <v>66.72</v>
      </c>
      <c r="AD77" s="23"/>
      <c r="AE77" s="14">
        <v>0.95699999999999996</v>
      </c>
      <c r="AF77" s="12">
        <v>0.94377</v>
      </c>
      <c r="AG77" s="12">
        <v>0.94128999999999996</v>
      </c>
      <c r="AI77" s="730">
        <v>0.99300000000000099</v>
      </c>
      <c r="AJ77" s="731">
        <v>4.87</v>
      </c>
    </row>
    <row r="78" spans="1:36" s="34" customFormat="1" ht="18.75" customHeight="1" thickBot="1" x14ac:dyDescent="0.25">
      <c r="A78" s="1014" t="s">
        <v>232</v>
      </c>
      <c r="B78" s="1014"/>
      <c r="C78" s="1014"/>
      <c r="D78" s="260" t="s">
        <v>220</v>
      </c>
      <c r="E78" s="261">
        <v>1.095</v>
      </c>
      <c r="F78" s="261">
        <v>0.99399999999999999</v>
      </c>
      <c r="G78" s="621">
        <f>IF((F78-1)*2000+2*((-0.4*E80+6.4)+((E78-1.075)*1000)*0.2)&lt;=0,0,(F78-1)*2000+2*((-0.4*E80+6.4)+((E78-1.075)*1000)*0.2))</f>
        <v>3.9999999999999964</v>
      </c>
      <c r="I78" s="236"/>
      <c r="J78" s="268"/>
      <c r="M78" s="9"/>
      <c r="N78" s="198">
        <v>24</v>
      </c>
      <c r="O78" s="225" t="s">
        <v>240</v>
      </c>
      <c r="P78" s="207">
        <v>1.4</v>
      </c>
      <c r="Q78" s="208" t="s">
        <v>166</v>
      </c>
      <c r="R78" s="594">
        <v>1.4</v>
      </c>
      <c r="S78" s="252"/>
      <c r="AA78" s="20">
        <v>74</v>
      </c>
      <c r="AB78" s="21">
        <v>37</v>
      </c>
      <c r="AC78" s="22">
        <v>66.25</v>
      </c>
      <c r="AD78" s="23"/>
      <c r="AE78" s="14">
        <v>0.95620000000000005</v>
      </c>
      <c r="AF78" s="12">
        <v>0.94281000000000004</v>
      </c>
      <c r="AG78" s="12">
        <v>0.94030999999999998</v>
      </c>
      <c r="AI78" s="730">
        <v>0.992900000000001</v>
      </c>
      <c r="AJ78" s="731">
        <v>4.9400000000000004</v>
      </c>
    </row>
    <row r="79" spans="1:36" s="34" customFormat="1" ht="30" customHeight="1" thickTop="1" thickBot="1" x14ac:dyDescent="0.3">
      <c r="A79" s="596"/>
      <c r="B79" s="597" t="s">
        <v>6</v>
      </c>
      <c r="C79" s="598" t="s">
        <v>828</v>
      </c>
      <c r="D79" s="260" t="s">
        <v>223</v>
      </c>
      <c r="E79" s="271">
        <v>22.7</v>
      </c>
      <c r="F79" s="203">
        <v>-1.6</v>
      </c>
      <c r="G79" s="622">
        <f>IF((D76-1)*2000+2*((-0.4*E80+6.4)+((D77-1.075)*1000)*0.2)&lt;=0,0,(D76-1)*2000+2*((-0.4*E80+6.4)+((D77-1.075)*1000)*0.2))</f>
        <v>3.7078421406036384</v>
      </c>
      <c r="H79" s="235"/>
      <c r="I79" s="1015" t="s">
        <v>235</v>
      </c>
      <c r="J79" s="1015"/>
      <c r="M79" s="9"/>
      <c r="N79" s="198">
        <v>25</v>
      </c>
      <c r="O79" s="225" t="s">
        <v>242</v>
      </c>
      <c r="P79" s="207">
        <v>1.45</v>
      </c>
      <c r="Q79" s="208" t="s">
        <v>170</v>
      </c>
      <c r="R79" s="594">
        <v>1.45</v>
      </c>
      <c r="S79" s="252"/>
      <c r="AA79" s="20">
        <v>75</v>
      </c>
      <c r="AB79" s="21">
        <v>37.5</v>
      </c>
      <c r="AC79" s="22">
        <v>65.78</v>
      </c>
      <c r="AD79" s="23"/>
      <c r="AE79" s="14">
        <v>0.95550000000000002</v>
      </c>
      <c r="AF79" s="12">
        <v>0.94183499999999998</v>
      </c>
      <c r="AG79" s="12">
        <v>0.93930499999999995</v>
      </c>
      <c r="AI79" s="730">
        <v>0.99280000000000102</v>
      </c>
      <c r="AJ79" s="731">
        <v>5.01</v>
      </c>
    </row>
    <row r="80" spans="1:36" s="34" customFormat="1" ht="18.75" customHeight="1" thickTop="1" x14ac:dyDescent="0.25">
      <c r="A80" s="599" t="s">
        <v>237</v>
      </c>
      <c r="B80" s="272">
        <v>160</v>
      </c>
      <c r="C80" s="121">
        <v>500</v>
      </c>
      <c r="D80" s="260" t="s">
        <v>238</v>
      </c>
      <c r="E80" s="158">
        <v>6</v>
      </c>
      <c r="F80" s="1016" t="s">
        <v>239</v>
      </c>
      <c r="G80" s="1017"/>
      <c r="H80" s="235"/>
      <c r="I80" s="273" t="s">
        <v>362</v>
      </c>
      <c r="J80" s="274">
        <v>3.5</v>
      </c>
      <c r="M80" s="244"/>
      <c r="N80" s="198">
        <v>26</v>
      </c>
      <c r="O80" s="225" t="s">
        <v>245</v>
      </c>
      <c r="P80" s="207">
        <v>1.2</v>
      </c>
      <c r="Q80" s="208" t="s">
        <v>170</v>
      </c>
      <c r="R80" s="264"/>
      <c r="S80" s="277"/>
      <c r="AA80" s="20">
        <v>76</v>
      </c>
      <c r="AB80" s="21">
        <v>38</v>
      </c>
      <c r="AC80" s="22">
        <v>65.31</v>
      </c>
      <c r="AD80" s="23"/>
      <c r="AE80" s="14">
        <v>0.95479999999999998</v>
      </c>
      <c r="AF80" s="12">
        <v>0.94086000000000003</v>
      </c>
      <c r="AG80" s="12">
        <v>0.93830000000000002</v>
      </c>
      <c r="AI80" s="730">
        <v>0.99270000000000103</v>
      </c>
      <c r="AJ80" s="731">
        <v>5.09</v>
      </c>
    </row>
    <row r="81" spans="1:36" s="34" customFormat="1" ht="18.75" customHeight="1" thickBot="1" x14ac:dyDescent="0.25">
      <c r="A81" s="600" t="s">
        <v>241</v>
      </c>
      <c r="B81" s="272">
        <v>92</v>
      </c>
      <c r="C81" s="713">
        <f>B80/B81*C80</f>
        <v>869.56521739130437</v>
      </c>
      <c r="D81" s="710">
        <f>INDEX(AC5:AC204,MATCH(B80,AA5:AA204,0))</f>
        <v>22.87</v>
      </c>
      <c r="E81" s="275"/>
      <c r="F81" s="206"/>
      <c r="G81" s="206"/>
      <c r="H81" s="235"/>
      <c r="I81" s="273" t="s">
        <v>829</v>
      </c>
      <c r="J81" s="121">
        <v>13</v>
      </c>
      <c r="M81" s="244"/>
      <c r="N81" s="198">
        <v>27</v>
      </c>
      <c r="O81" s="225" t="s">
        <v>247</v>
      </c>
      <c r="P81" s="207">
        <v>1.2</v>
      </c>
      <c r="Q81" s="208" t="s">
        <v>170</v>
      </c>
      <c r="R81" s="257"/>
      <c r="S81" s="277"/>
      <c r="AA81" s="20">
        <v>77</v>
      </c>
      <c r="AB81" s="21">
        <v>38.5</v>
      </c>
      <c r="AC81" s="22">
        <v>64.84</v>
      </c>
      <c r="AD81" s="23"/>
      <c r="AE81" s="14">
        <v>0.95399999999999996</v>
      </c>
      <c r="AF81" s="12">
        <v>0.93986000000000003</v>
      </c>
      <c r="AG81" s="12">
        <v>0.93728</v>
      </c>
      <c r="AI81" s="730">
        <v>0.99260000000000104</v>
      </c>
      <c r="AJ81" s="731">
        <v>5.16</v>
      </c>
    </row>
    <row r="82" spans="1:36" s="34" customFormat="1" ht="18.75" customHeight="1" thickBot="1" x14ac:dyDescent="0.25">
      <c r="A82" s="601" t="s">
        <v>178</v>
      </c>
      <c r="B82" s="602" t="s">
        <v>243</v>
      </c>
      <c r="C82" s="712">
        <f>(((B80/B81)*D82)-D81)*C80/100</f>
        <v>387.04130434782599</v>
      </c>
      <c r="D82" s="711">
        <f>INDEX(AC5:AC204,MATCH(B81,AA5:AA204,0))</f>
        <v>57.66</v>
      </c>
      <c r="E82" s="275"/>
      <c r="F82" s="206"/>
      <c r="G82" s="206"/>
      <c r="H82" s="235"/>
      <c r="I82" s="273" t="s">
        <v>244</v>
      </c>
      <c r="J82" s="276">
        <v>27</v>
      </c>
      <c r="K82" s="629">
        <f>IF(J80&lt;=3.5,(-0.0335*J81+0.536),(-0.0335*J81+0.5695))</f>
        <v>0.10050000000000003</v>
      </c>
      <c r="M82" s="244"/>
      <c r="N82" s="198">
        <v>28</v>
      </c>
      <c r="O82" s="225" t="s">
        <v>248</v>
      </c>
      <c r="P82" s="207">
        <v>1</v>
      </c>
      <c r="Q82" s="208" t="s">
        <v>166</v>
      </c>
      <c r="R82" s="257"/>
      <c r="S82" s="277"/>
      <c r="AA82" s="20">
        <v>78</v>
      </c>
      <c r="AB82" s="21">
        <v>39</v>
      </c>
      <c r="AC82" s="22">
        <v>64.37</v>
      </c>
      <c r="AD82" s="23"/>
      <c r="AE82" s="14">
        <v>0.95330000000000004</v>
      </c>
      <c r="AF82" s="12">
        <v>0.93886000000000003</v>
      </c>
      <c r="AG82" s="12">
        <v>0.93625999999999998</v>
      </c>
      <c r="AI82" s="730">
        <v>0.99250000000000105</v>
      </c>
      <c r="AJ82" s="731">
        <v>5.23</v>
      </c>
    </row>
    <row r="83" spans="1:36" ht="20.25" customHeight="1" thickBot="1" x14ac:dyDescent="0.25">
      <c r="A83" s="278">
        <v>0.99350000000000005</v>
      </c>
      <c r="B83" s="603" t="s">
        <v>830</v>
      </c>
      <c r="C83" s="604">
        <f>2*INDEX(AJ7:AJ2100,MATCH(A83,AI7:AI2100,-1))</f>
        <v>9</v>
      </c>
      <c r="D83" s="260"/>
      <c r="E83" s="275"/>
      <c r="F83" s="206"/>
      <c r="G83" s="206"/>
      <c r="H83" s="235"/>
      <c r="I83" s="279" t="s">
        <v>246</v>
      </c>
      <c r="J83" s="631">
        <f>IF(K82&lt;=0.2,K82*J82,0.2*J82)</f>
        <v>2.7135000000000007</v>
      </c>
      <c r="K83" s="629"/>
      <c r="L83" s="34"/>
      <c r="M83" s="3"/>
      <c r="N83" s="198">
        <v>29</v>
      </c>
      <c r="O83" s="225" t="s">
        <v>255</v>
      </c>
      <c r="P83" s="207">
        <v>1.67</v>
      </c>
      <c r="Q83" s="208" t="s">
        <v>171</v>
      </c>
      <c r="R83" s="257"/>
      <c r="S83" s="277"/>
      <c r="T83" s="34"/>
      <c r="U83" s="34"/>
      <c r="V83" s="34"/>
      <c r="W83" s="34"/>
      <c r="X83" s="34"/>
      <c r="Y83" s="34"/>
      <c r="Z83" s="34"/>
      <c r="AA83" s="20">
        <v>79</v>
      </c>
      <c r="AB83" s="21">
        <v>39.5</v>
      </c>
      <c r="AC83" s="108">
        <v>63.9</v>
      </c>
      <c r="AD83" s="109"/>
      <c r="AE83" s="14">
        <v>0.95250000000000001</v>
      </c>
      <c r="AF83" s="12">
        <v>0.93784999999999996</v>
      </c>
      <c r="AG83" s="12">
        <v>0.93523500000000004</v>
      </c>
      <c r="AI83" s="730">
        <v>0.99240000000000095</v>
      </c>
      <c r="AJ83" s="731">
        <v>5.31</v>
      </c>
    </row>
    <row r="84" spans="1:36" ht="23.25" customHeight="1" thickBot="1" x14ac:dyDescent="0.25">
      <c r="E84" s="1018" t="s">
        <v>831</v>
      </c>
      <c r="F84" s="1018"/>
      <c r="G84" s="235"/>
      <c r="H84" s="236"/>
      <c r="I84" s="268"/>
      <c r="J84" s="151"/>
      <c r="K84" s="280"/>
      <c r="L84" s="280"/>
      <c r="M84" s="3"/>
      <c r="N84" s="198">
        <v>30</v>
      </c>
      <c r="O84" s="241" t="s">
        <v>261</v>
      </c>
      <c r="P84" s="207">
        <v>1.2</v>
      </c>
      <c r="Q84" s="208" t="s">
        <v>170</v>
      </c>
      <c r="R84" s="257"/>
      <c r="S84" s="277"/>
      <c r="T84" s="34"/>
      <c r="U84" s="34"/>
      <c r="V84" s="34"/>
      <c r="W84" s="34"/>
      <c r="X84" s="34"/>
      <c r="Y84" s="34"/>
      <c r="Z84" s="34"/>
      <c r="AA84" s="20">
        <v>80</v>
      </c>
      <c r="AB84" s="21">
        <v>40</v>
      </c>
      <c r="AC84" s="22">
        <v>63.42</v>
      </c>
      <c r="AD84" s="23"/>
      <c r="AE84" s="14">
        <v>0.95169999999999999</v>
      </c>
      <c r="AF84" s="12">
        <v>0.93684000000000001</v>
      </c>
      <c r="AG84" s="12">
        <v>0.93420999999999998</v>
      </c>
      <c r="AI84" s="730">
        <v>0.99230000000000096</v>
      </c>
      <c r="AJ84" s="731">
        <v>5.38</v>
      </c>
    </row>
    <row r="85" spans="1:36" ht="48" customHeight="1" thickBot="1" x14ac:dyDescent="0.25">
      <c r="A85" s="281" t="s">
        <v>249</v>
      </c>
      <c r="B85" s="282" t="s">
        <v>250</v>
      </c>
      <c r="C85" s="521" t="s">
        <v>251</v>
      </c>
      <c r="D85" s="283" t="s">
        <v>252</v>
      </c>
      <c r="E85" s="1019" t="s">
        <v>253</v>
      </c>
      <c r="F85" s="1019"/>
      <c r="G85" s="1020" t="s">
        <v>249</v>
      </c>
      <c r="H85" s="1021" t="s">
        <v>254</v>
      </c>
      <c r="I85" s="1021"/>
      <c r="J85" s="1021" t="s">
        <v>251</v>
      </c>
      <c r="K85" s="1009" t="s">
        <v>252</v>
      </c>
      <c r="L85" s="530"/>
      <c r="M85" s="244"/>
      <c r="N85" s="198">
        <v>31</v>
      </c>
      <c r="O85" s="225" t="s">
        <v>265</v>
      </c>
      <c r="P85" s="207">
        <v>1.65</v>
      </c>
      <c r="Q85" s="208" t="s">
        <v>170</v>
      </c>
      <c r="R85" s="605">
        <v>1.65</v>
      </c>
      <c r="S85" s="277"/>
      <c r="T85" s="34"/>
      <c r="U85" s="34"/>
      <c r="V85" s="34"/>
      <c r="W85" s="34"/>
      <c r="X85" s="34"/>
      <c r="Y85" s="34"/>
      <c r="Z85" s="34"/>
      <c r="AA85" s="20">
        <v>81</v>
      </c>
      <c r="AB85" s="21">
        <v>40.5</v>
      </c>
      <c r="AC85" s="22">
        <v>62.95</v>
      </c>
      <c r="AD85" s="23"/>
      <c r="AE85" s="14">
        <v>0.95089999999999997</v>
      </c>
      <c r="AF85" s="12">
        <v>0.93581499999999995</v>
      </c>
      <c r="AG85" s="12">
        <v>0.93316500000000002</v>
      </c>
      <c r="AI85" s="730">
        <v>0.99220000000000097</v>
      </c>
      <c r="AJ85" s="731">
        <v>5.46</v>
      </c>
    </row>
    <row r="86" spans="1:36" ht="18.75" customHeight="1" x14ac:dyDescent="0.2">
      <c r="A86" s="284" t="s">
        <v>256</v>
      </c>
      <c r="B86" s="285" t="s">
        <v>257</v>
      </c>
      <c r="C86" s="286">
        <v>0.02</v>
      </c>
      <c r="D86" s="287">
        <f>E89*C86</f>
        <v>4</v>
      </c>
      <c r="E86" s="1010" t="s">
        <v>258</v>
      </c>
      <c r="F86" s="1010"/>
      <c r="G86" s="1020"/>
      <c r="H86" s="288" t="s">
        <v>259</v>
      </c>
      <c r="I86" s="289" t="s">
        <v>260</v>
      </c>
      <c r="J86" s="1021"/>
      <c r="K86" s="1009"/>
      <c r="L86" s="530"/>
      <c r="M86" s="3"/>
      <c r="N86" s="198">
        <v>32</v>
      </c>
      <c r="O86" s="199" t="s">
        <v>271</v>
      </c>
      <c r="P86" s="207">
        <v>1.2</v>
      </c>
      <c r="Q86" s="208" t="s">
        <v>170</v>
      </c>
      <c r="R86" s="257"/>
      <c r="S86" s="277"/>
      <c r="T86" s="34"/>
      <c r="U86" s="34"/>
      <c r="V86" s="34"/>
      <c r="W86" s="34"/>
      <c r="X86" s="34"/>
      <c r="Y86" s="34"/>
      <c r="Z86" s="34"/>
      <c r="AA86" s="20">
        <v>82</v>
      </c>
      <c r="AB86" s="21">
        <v>41</v>
      </c>
      <c r="AC86" s="22">
        <v>62.47</v>
      </c>
      <c r="AD86" s="23"/>
      <c r="AE86" s="14">
        <v>0.95009999999999994</v>
      </c>
      <c r="AF86" s="12">
        <v>0.93479000000000001</v>
      </c>
      <c r="AG86" s="12">
        <v>0.93211999999999995</v>
      </c>
      <c r="AI86" s="730">
        <v>0.99210000000000098</v>
      </c>
      <c r="AJ86" s="731">
        <v>5.53</v>
      </c>
    </row>
    <row r="87" spans="1:36" ht="18.75" customHeight="1" x14ac:dyDescent="0.2">
      <c r="A87" s="290" t="s">
        <v>262</v>
      </c>
      <c r="B87" s="833" t="s">
        <v>1035</v>
      </c>
      <c r="C87" s="291">
        <v>7.4999999999999997E-3</v>
      </c>
      <c r="D87" s="287">
        <f>E89*C87</f>
        <v>1.5</v>
      </c>
      <c r="E87" s="1011">
        <v>53</v>
      </c>
      <c r="F87" s="1011"/>
      <c r="G87" s="292" t="s">
        <v>263</v>
      </c>
      <c r="H87" s="285" t="s">
        <v>1045</v>
      </c>
      <c r="I87" s="520" t="s">
        <v>264</v>
      </c>
      <c r="J87" s="286">
        <v>0.03</v>
      </c>
      <c r="K87" s="293">
        <f>E89*J87</f>
        <v>6</v>
      </c>
      <c r="L87" s="50"/>
      <c r="M87" s="3"/>
      <c r="N87" s="198">
        <v>33</v>
      </c>
      <c r="O87" s="225" t="s">
        <v>275</v>
      </c>
      <c r="P87" s="207">
        <v>1.2</v>
      </c>
      <c r="Q87" s="208" t="s">
        <v>170</v>
      </c>
      <c r="R87" s="257"/>
      <c r="S87" s="277"/>
      <c r="T87" s="34"/>
      <c r="U87" s="34"/>
      <c r="V87" s="34"/>
      <c r="W87" s="34"/>
      <c r="X87" s="34"/>
      <c r="Y87" s="34"/>
      <c r="Z87" s="34"/>
      <c r="AA87" s="20">
        <v>83</v>
      </c>
      <c r="AB87" s="21">
        <v>41.5</v>
      </c>
      <c r="AC87" s="22">
        <v>61.99</v>
      </c>
      <c r="AD87" s="23"/>
      <c r="AE87" s="14">
        <v>0.94930000000000003</v>
      </c>
      <c r="AF87" s="12">
        <v>0.933755</v>
      </c>
      <c r="AG87" s="12">
        <v>0.93106500000000003</v>
      </c>
      <c r="AI87" s="730">
        <v>0.99200000000000099</v>
      </c>
      <c r="AJ87" s="731">
        <v>5.61</v>
      </c>
    </row>
    <row r="88" spans="1:36" ht="18.75" customHeight="1" x14ac:dyDescent="0.2">
      <c r="A88" s="290" t="s">
        <v>266</v>
      </c>
      <c r="B88" s="520" t="s">
        <v>1034</v>
      </c>
      <c r="C88" s="291">
        <v>1.1299999999999999E-2</v>
      </c>
      <c r="D88" s="287">
        <f>E89*C88</f>
        <v>2.2599999999999998</v>
      </c>
      <c r="E88" s="1010" t="s">
        <v>267</v>
      </c>
      <c r="F88" s="1010"/>
      <c r="G88" s="292" t="s">
        <v>268</v>
      </c>
      <c r="H88" s="520" t="s">
        <v>269</v>
      </c>
      <c r="I88" s="520" t="s">
        <v>270</v>
      </c>
      <c r="J88" s="294">
        <v>0.05</v>
      </c>
      <c r="K88" s="295">
        <f>E87*J88</f>
        <v>2.6500000000000004</v>
      </c>
      <c r="L88" s="50"/>
      <c r="M88" s="3"/>
      <c r="N88" s="198">
        <v>34</v>
      </c>
      <c r="O88" s="241" t="s">
        <v>279</v>
      </c>
      <c r="P88" s="207">
        <v>1.2</v>
      </c>
      <c r="Q88" s="208" t="s">
        <v>170</v>
      </c>
      <c r="R88" s="257"/>
      <c r="S88" s="277"/>
      <c r="T88" s="34"/>
      <c r="U88" s="34"/>
      <c r="V88" s="34"/>
      <c r="W88" s="34"/>
      <c r="X88" s="34"/>
      <c r="Y88" s="34"/>
      <c r="Z88" s="34"/>
      <c r="AA88" s="20">
        <v>84</v>
      </c>
      <c r="AB88" s="21">
        <v>42</v>
      </c>
      <c r="AC88" s="22">
        <v>61.52</v>
      </c>
      <c r="AD88" s="23"/>
      <c r="AE88" s="14">
        <v>0.94850000000000001</v>
      </c>
      <c r="AF88" s="12">
        <v>0.93271999999999999</v>
      </c>
      <c r="AG88" s="12">
        <v>0.93001</v>
      </c>
      <c r="AI88" s="730">
        <v>0.991900000000001</v>
      </c>
      <c r="AJ88" s="731">
        <v>5.68</v>
      </c>
    </row>
    <row r="89" spans="1:36" ht="18.75" customHeight="1" thickBot="1" x14ac:dyDescent="0.25">
      <c r="A89" s="290" t="s">
        <v>272</v>
      </c>
      <c r="B89" s="296" t="s">
        <v>1043</v>
      </c>
      <c r="C89" s="297">
        <v>0.05</v>
      </c>
      <c r="D89" s="298">
        <f>E89*C89</f>
        <v>10</v>
      </c>
      <c r="E89" s="1012">
        <v>200</v>
      </c>
      <c r="F89" s="1012"/>
      <c r="G89" s="299" t="s">
        <v>273</v>
      </c>
      <c r="H89" s="285"/>
      <c r="I89" s="285" t="s">
        <v>274</v>
      </c>
      <c r="J89" s="300">
        <v>0.4</v>
      </c>
      <c r="K89" s="295">
        <f>E87*J89</f>
        <v>21.200000000000003</v>
      </c>
      <c r="L89" s="50"/>
      <c r="M89" s="244"/>
      <c r="N89" s="198">
        <v>35</v>
      </c>
      <c r="O89" s="225" t="s">
        <v>283</v>
      </c>
      <c r="P89" s="207">
        <v>1.67</v>
      </c>
      <c r="Q89" s="208" t="s">
        <v>171</v>
      </c>
      <c r="R89" s="257"/>
      <c r="S89" s="277"/>
      <c r="T89" s="34"/>
      <c r="U89" s="34"/>
      <c r="V89" s="34"/>
      <c r="W89" s="34"/>
      <c r="X89" s="34"/>
      <c r="Y89" s="34"/>
      <c r="Z89" s="34"/>
      <c r="AA89" s="20">
        <v>85</v>
      </c>
      <c r="AB89" s="21">
        <v>42.5</v>
      </c>
      <c r="AC89" s="22">
        <v>61.04</v>
      </c>
      <c r="AD89" s="23"/>
      <c r="AE89" s="14">
        <v>0.94769999999999999</v>
      </c>
      <c r="AF89" s="12">
        <v>0.93167</v>
      </c>
      <c r="AG89" s="12">
        <v>0.92893999999999999</v>
      </c>
      <c r="AI89" s="730">
        <v>0.99180000000000101</v>
      </c>
      <c r="AJ89" s="731">
        <v>5.76</v>
      </c>
    </row>
    <row r="90" spans="1:36" ht="18.75" customHeight="1" thickTop="1" x14ac:dyDescent="0.2">
      <c r="A90" s="290" t="s">
        <v>276</v>
      </c>
      <c r="B90" s="520" t="s">
        <v>1044</v>
      </c>
      <c r="C90" s="301">
        <v>1.2999999999999999E-2</v>
      </c>
      <c r="D90" s="302">
        <f>E89*C90</f>
        <v>2.6</v>
      </c>
      <c r="E90" s="303"/>
      <c r="G90" s="304" t="s">
        <v>277</v>
      </c>
      <c r="H90" s="285" t="s">
        <v>278</v>
      </c>
      <c r="I90" s="305" t="s">
        <v>931</v>
      </c>
      <c r="J90" s="297">
        <v>0.1</v>
      </c>
      <c r="K90" s="295">
        <f>E87*J90</f>
        <v>5.3000000000000007</v>
      </c>
      <c r="L90" s="50"/>
      <c r="M90" s="244"/>
      <c r="N90" s="198">
        <v>36</v>
      </c>
      <c r="O90" s="225" t="s">
        <v>286</v>
      </c>
      <c r="P90" s="207">
        <v>2.2000000000000002</v>
      </c>
      <c r="Q90" s="208" t="s">
        <v>171</v>
      </c>
      <c r="R90" s="605">
        <v>2.2000000000000002</v>
      </c>
      <c r="S90" s="277"/>
      <c r="T90" s="34"/>
      <c r="U90" s="34"/>
      <c r="V90" s="34"/>
      <c r="W90" s="34"/>
      <c r="X90" s="34"/>
      <c r="Y90" s="34"/>
      <c r="Z90" s="34"/>
      <c r="AA90" s="20">
        <v>86</v>
      </c>
      <c r="AB90" s="21">
        <v>43</v>
      </c>
      <c r="AC90" s="22">
        <v>60.56</v>
      </c>
      <c r="AD90" s="23"/>
      <c r="AE90" s="14">
        <v>0.94689999999999996</v>
      </c>
      <c r="AF90" s="12">
        <v>0.93062</v>
      </c>
      <c r="AG90" s="12">
        <v>0.92786999999999997</v>
      </c>
      <c r="AI90" s="730">
        <v>0.99170000000000103</v>
      </c>
      <c r="AJ90" s="731">
        <v>5.83</v>
      </c>
    </row>
    <row r="91" spans="1:36" ht="18.75" customHeight="1" x14ac:dyDescent="0.2">
      <c r="A91" s="290" t="s">
        <v>280</v>
      </c>
      <c r="B91" s="520" t="s">
        <v>1033</v>
      </c>
      <c r="C91" s="306">
        <v>0.35</v>
      </c>
      <c r="D91" s="307">
        <f>E89*C91</f>
        <v>70</v>
      </c>
      <c r="E91" s="303"/>
      <c r="G91" s="308" t="s">
        <v>281</v>
      </c>
      <c r="H91" s="520" t="s">
        <v>282</v>
      </c>
      <c r="I91" s="520" t="s">
        <v>932</v>
      </c>
      <c r="J91" s="297">
        <v>0.1</v>
      </c>
      <c r="K91" s="295">
        <f>E87*J91</f>
        <v>5.3000000000000007</v>
      </c>
      <c r="L91" s="50"/>
      <c r="M91" s="257"/>
      <c r="N91" s="198">
        <v>37</v>
      </c>
      <c r="O91" s="225" t="s">
        <v>289</v>
      </c>
      <c r="P91" s="207">
        <v>1.67</v>
      </c>
      <c r="Q91" s="208" t="s">
        <v>171</v>
      </c>
      <c r="R91" s="315"/>
      <c r="S91" s="277"/>
      <c r="T91" s="252"/>
      <c r="U91" s="34"/>
      <c r="V91" s="34"/>
      <c r="W91" s="34"/>
      <c r="X91" s="34"/>
      <c r="Y91" s="34"/>
      <c r="Z91" s="34"/>
      <c r="AA91" s="20">
        <v>87</v>
      </c>
      <c r="AB91" s="21">
        <v>43.5</v>
      </c>
      <c r="AC91" s="22">
        <v>60.08</v>
      </c>
      <c r="AD91" s="23"/>
      <c r="AE91" s="14">
        <v>0.94599999999999995</v>
      </c>
      <c r="AF91" s="12">
        <v>0.92955500000000002</v>
      </c>
      <c r="AG91" s="12">
        <v>0.92679</v>
      </c>
      <c r="AI91" s="730">
        <v>0.99160000000000104</v>
      </c>
      <c r="AJ91" s="731">
        <v>5.91</v>
      </c>
    </row>
    <row r="92" spans="1:36" ht="18.75" customHeight="1" x14ac:dyDescent="0.2">
      <c r="A92" s="309" t="s">
        <v>284</v>
      </c>
      <c r="B92" s="310" t="s">
        <v>1038</v>
      </c>
      <c r="C92" s="311">
        <v>0.25</v>
      </c>
      <c r="D92" s="307">
        <f>E87*C92</f>
        <v>13.25</v>
      </c>
      <c r="E92" s="303"/>
      <c r="G92" s="312" t="s">
        <v>285</v>
      </c>
      <c r="H92" s="520" t="s">
        <v>928</v>
      </c>
      <c r="I92" s="519"/>
      <c r="J92" s="297">
        <v>0.3</v>
      </c>
      <c r="K92" s="295">
        <f>E87*J92</f>
        <v>15.899999999999999</v>
      </c>
      <c r="L92" s="50"/>
      <c r="M92" s="50"/>
      <c r="N92" s="198">
        <v>38</v>
      </c>
      <c r="O92" s="225" t="s">
        <v>293</v>
      </c>
      <c r="P92" s="207">
        <v>1</v>
      </c>
      <c r="Q92" s="208" t="s">
        <v>166</v>
      </c>
      <c r="R92" s="315"/>
      <c r="S92" s="315"/>
      <c r="T92" s="277"/>
      <c r="U92" s="252"/>
      <c r="V92" s="34"/>
      <c r="W92" s="34"/>
      <c r="X92" s="34"/>
      <c r="Y92" s="34"/>
      <c r="Z92" s="34"/>
      <c r="AA92" s="20">
        <v>88</v>
      </c>
      <c r="AB92" s="21">
        <v>44</v>
      </c>
      <c r="AC92" s="22">
        <v>59.59</v>
      </c>
      <c r="AD92" s="23"/>
      <c r="AE92" s="14">
        <v>0.94520000000000004</v>
      </c>
      <c r="AF92" s="12">
        <v>0.92849000000000004</v>
      </c>
      <c r="AG92" s="12">
        <v>0.92571000000000003</v>
      </c>
      <c r="AI92" s="730">
        <v>0.99150000000000105</v>
      </c>
      <c r="AJ92" s="731">
        <v>5.99</v>
      </c>
    </row>
    <row r="93" spans="1:36" ht="18.75" customHeight="1" x14ac:dyDescent="0.2">
      <c r="A93" s="290" t="s">
        <v>287</v>
      </c>
      <c r="B93" s="520" t="s">
        <v>928</v>
      </c>
      <c r="C93" s="300">
        <v>0.3</v>
      </c>
      <c r="D93" s="307">
        <f>E87*C93</f>
        <v>15.899999999999999</v>
      </c>
      <c r="E93" s="303" t="s">
        <v>28</v>
      </c>
      <c r="G93" s="304" t="s">
        <v>288</v>
      </c>
      <c r="H93" s="313" t="s">
        <v>929</v>
      </c>
      <c r="I93" s="520" t="s">
        <v>933</v>
      </c>
      <c r="J93" s="311">
        <v>0.2</v>
      </c>
      <c r="K93" s="295">
        <f>E87*J93</f>
        <v>10.600000000000001</v>
      </c>
      <c r="L93" s="50"/>
      <c r="M93" s="50"/>
      <c r="N93" s="198">
        <v>39</v>
      </c>
      <c r="O93" s="241" t="s">
        <v>297</v>
      </c>
      <c r="P93" s="207">
        <v>1.2</v>
      </c>
      <c r="Q93" s="208" t="s">
        <v>170</v>
      </c>
      <c r="R93" s="315"/>
      <c r="S93" s="277"/>
      <c r="T93" s="277"/>
      <c r="U93" s="252"/>
      <c r="V93" s="34"/>
      <c r="W93" s="34"/>
      <c r="X93" s="34"/>
      <c r="Y93" s="34"/>
      <c r="Z93" s="34"/>
      <c r="AA93" s="20">
        <v>89</v>
      </c>
      <c r="AB93" s="21">
        <v>44.5</v>
      </c>
      <c r="AC93" s="22">
        <v>59.11</v>
      </c>
      <c r="AD93" s="23"/>
      <c r="AE93" s="14">
        <v>0.94430000000000003</v>
      </c>
      <c r="AF93" s="12">
        <v>0.92742500000000005</v>
      </c>
      <c r="AG93" s="12">
        <v>0.92462</v>
      </c>
      <c r="AI93" s="730">
        <v>0.99140000000000095</v>
      </c>
      <c r="AJ93" s="731">
        <v>6.06</v>
      </c>
    </row>
    <row r="94" spans="1:36" ht="18.75" customHeight="1" x14ac:dyDescent="0.2">
      <c r="A94" s="290" t="s">
        <v>290</v>
      </c>
      <c r="B94" s="296" t="s">
        <v>1037</v>
      </c>
      <c r="C94" s="300">
        <v>0.3</v>
      </c>
      <c r="D94" s="307">
        <f>E87*C94</f>
        <v>15.899999999999999</v>
      </c>
      <c r="E94" s="303"/>
      <c r="F94" s="314"/>
      <c r="G94" s="304" t="s">
        <v>291</v>
      </c>
      <c r="H94" s="520" t="s">
        <v>292</v>
      </c>
      <c r="I94" s="520" t="s">
        <v>292</v>
      </c>
      <c r="J94" s="300">
        <v>0.5</v>
      </c>
      <c r="K94" s="295">
        <f>E87*J94</f>
        <v>26.5</v>
      </c>
      <c r="L94" s="50"/>
      <c r="M94" s="257"/>
      <c r="N94" s="198">
        <v>40</v>
      </c>
      <c r="O94" s="225" t="s">
        <v>301</v>
      </c>
      <c r="P94" s="207">
        <v>1.67</v>
      </c>
      <c r="Q94" s="208" t="s">
        <v>171</v>
      </c>
      <c r="R94" s="315"/>
      <c r="S94" s="277"/>
      <c r="T94" s="252"/>
      <c r="U94" s="34"/>
      <c r="V94" s="34"/>
      <c r="W94" s="34"/>
      <c r="X94" s="34"/>
      <c r="Y94" s="34"/>
      <c r="Z94" s="34"/>
      <c r="AA94" s="20">
        <v>90</v>
      </c>
      <c r="AB94" s="21">
        <v>45</v>
      </c>
      <c r="AC94" s="22">
        <v>58.63</v>
      </c>
      <c r="AD94" s="23"/>
      <c r="AE94" s="14">
        <v>0.94340000000000002</v>
      </c>
      <c r="AF94" s="12">
        <v>0.92635999999999996</v>
      </c>
      <c r="AG94" s="12">
        <v>0.92352999999999996</v>
      </c>
      <c r="AI94" s="730">
        <v>0.99130000000000096</v>
      </c>
      <c r="AJ94" s="731">
        <v>6.14</v>
      </c>
    </row>
    <row r="95" spans="1:36" ht="18.75" customHeight="1" x14ac:dyDescent="0.2">
      <c r="A95" s="290" t="s">
        <v>294</v>
      </c>
      <c r="B95" s="735">
        <v>1</v>
      </c>
      <c r="C95" s="316" t="s">
        <v>295</v>
      </c>
      <c r="D95" s="317">
        <f>B95*20</f>
        <v>20</v>
      </c>
      <c r="E95" s="303"/>
      <c r="G95" s="304" t="s">
        <v>296</v>
      </c>
      <c r="H95" s="520" t="s">
        <v>292</v>
      </c>
      <c r="I95" s="520" t="s">
        <v>292</v>
      </c>
      <c r="J95" s="300">
        <v>1</v>
      </c>
      <c r="K95" s="295">
        <f>E87*J95</f>
        <v>53</v>
      </c>
      <c r="L95" s="50"/>
      <c r="M95" s="257"/>
      <c r="N95" s="198">
        <v>41</v>
      </c>
      <c r="O95" s="241" t="s">
        <v>849</v>
      </c>
      <c r="P95" s="207">
        <v>1.25</v>
      </c>
      <c r="Q95" s="208" t="s">
        <v>306</v>
      </c>
      <c r="R95" s="634" t="s">
        <v>307</v>
      </c>
      <c r="S95" s="277"/>
      <c r="T95" s="635" t="s">
        <v>761</v>
      </c>
      <c r="U95" s="635" t="s">
        <v>854</v>
      </c>
      <c r="V95" s="34"/>
      <c r="W95" s="34"/>
      <c r="X95" s="34"/>
      <c r="Y95" s="34"/>
      <c r="Z95" s="34"/>
      <c r="AA95" s="20">
        <v>91</v>
      </c>
      <c r="AB95" s="21">
        <v>45.5</v>
      </c>
      <c r="AC95" s="22">
        <v>58.14</v>
      </c>
      <c r="AD95" s="23"/>
      <c r="AE95" s="14">
        <v>0.94259999999999999</v>
      </c>
      <c r="AF95" s="12">
        <v>0.92528500000000002</v>
      </c>
      <c r="AG95" s="12">
        <v>0.92244999999999999</v>
      </c>
      <c r="AI95" s="730">
        <v>0.99120000000000097</v>
      </c>
      <c r="AJ95" s="731">
        <v>6.22</v>
      </c>
    </row>
    <row r="96" spans="1:36" ht="18.75" customHeight="1" x14ac:dyDescent="0.2">
      <c r="A96" s="290" t="s">
        <v>298</v>
      </c>
      <c r="B96" s="296" t="s">
        <v>929</v>
      </c>
      <c r="C96" s="297">
        <v>0.2</v>
      </c>
      <c r="D96" s="307">
        <f>E87*C96</f>
        <v>10.600000000000001</v>
      </c>
      <c r="E96" s="303"/>
      <c r="G96" s="318" t="s">
        <v>299</v>
      </c>
      <c r="H96" s="1013" t="s">
        <v>300</v>
      </c>
      <c r="I96" s="1013"/>
      <c r="J96" s="300">
        <v>0.25</v>
      </c>
      <c r="K96" s="295">
        <f>E87*J96</f>
        <v>13.25</v>
      </c>
      <c r="L96" s="50"/>
      <c r="M96" s="257"/>
      <c r="N96" s="198">
        <v>44</v>
      </c>
      <c r="O96" s="225" t="s">
        <v>505</v>
      </c>
      <c r="P96" s="207">
        <v>1.55</v>
      </c>
      <c r="Q96" s="208" t="s">
        <v>311</v>
      </c>
      <c r="R96" s="634" t="s">
        <v>307</v>
      </c>
      <c r="S96" s="264"/>
      <c r="T96" s="635" t="s">
        <v>763</v>
      </c>
      <c r="U96" s="635" t="s">
        <v>854</v>
      </c>
      <c r="V96" s="34"/>
      <c r="W96" s="34"/>
      <c r="X96" s="34"/>
      <c r="Y96" s="34"/>
      <c r="Z96" s="34"/>
      <c r="AA96" s="20">
        <v>92</v>
      </c>
      <c r="AB96" s="21">
        <v>46</v>
      </c>
      <c r="AC96" s="22">
        <v>57.66</v>
      </c>
      <c r="AD96" s="23"/>
      <c r="AE96" s="14">
        <v>0.94169999999999998</v>
      </c>
      <c r="AF96" s="12">
        <v>0.92420999999999998</v>
      </c>
      <c r="AG96" s="12">
        <v>0.92137000000000002</v>
      </c>
      <c r="AI96" s="730">
        <v>0.99110000000000098</v>
      </c>
      <c r="AJ96" s="731">
        <v>6.29</v>
      </c>
    </row>
    <row r="97" spans="1:36" ht="18.75" customHeight="1" x14ac:dyDescent="0.2">
      <c r="A97" s="290" t="s">
        <v>308</v>
      </c>
      <c r="B97" s="323" t="s">
        <v>1038</v>
      </c>
      <c r="C97" s="324">
        <v>0.15</v>
      </c>
      <c r="D97" s="307">
        <f>E87*C97</f>
        <v>7.9499999999999993</v>
      </c>
      <c r="E97" s="303"/>
      <c r="G97" s="304" t="s">
        <v>304</v>
      </c>
      <c r="H97" s="1013" t="s">
        <v>305</v>
      </c>
      <c r="I97" s="1013"/>
      <c r="J97" s="297">
        <v>0.8</v>
      </c>
      <c r="K97" s="295">
        <f>E87*J97</f>
        <v>42.400000000000006</v>
      </c>
      <c r="L97" s="50"/>
      <c r="M97" s="257"/>
      <c r="N97" s="198">
        <v>45</v>
      </c>
      <c r="O97" s="225" t="s">
        <v>504</v>
      </c>
      <c r="P97" s="207">
        <v>1.55</v>
      </c>
      <c r="Q97" s="208" t="s">
        <v>311</v>
      </c>
      <c r="R97" s="634" t="s">
        <v>307</v>
      </c>
      <c r="S97" s="264"/>
      <c r="T97" s="635" t="s">
        <v>762</v>
      </c>
      <c r="U97" s="635" t="s">
        <v>854</v>
      </c>
      <c r="V97" s="34"/>
      <c r="W97" s="34"/>
      <c r="X97" s="34"/>
      <c r="Y97" s="34"/>
      <c r="Z97" s="34"/>
      <c r="AA97" s="20">
        <v>93</v>
      </c>
      <c r="AB97" s="21">
        <v>46.5</v>
      </c>
      <c r="AC97" s="22">
        <v>57.17</v>
      </c>
      <c r="AD97" s="23"/>
      <c r="AE97" s="14">
        <v>0.94079999999999997</v>
      </c>
      <c r="AF97" s="12">
        <v>0.92312499999999997</v>
      </c>
      <c r="AG97" s="12">
        <v>0.92027000000000003</v>
      </c>
      <c r="AI97" s="730">
        <v>0.99100000000000099</v>
      </c>
      <c r="AJ97" s="731">
        <v>6.37</v>
      </c>
    </row>
    <row r="98" spans="1:36" ht="18.75" customHeight="1" x14ac:dyDescent="0.2">
      <c r="A98" s="290" t="s">
        <v>312</v>
      </c>
      <c r="B98" s="285" t="s">
        <v>1036</v>
      </c>
      <c r="C98" s="324">
        <v>0.15</v>
      </c>
      <c r="D98" s="307">
        <f>E87*C98</f>
        <v>7.9499999999999993</v>
      </c>
      <c r="E98" s="303"/>
      <c r="G98" s="312" t="s">
        <v>309</v>
      </c>
      <c r="H98" s="1013" t="s">
        <v>310</v>
      </c>
      <c r="I98" s="1013"/>
      <c r="J98" s="324">
        <v>0.5</v>
      </c>
      <c r="K98" s="295">
        <f>E87*J98</f>
        <v>26.5</v>
      </c>
      <c r="L98" s="50"/>
      <c r="M98" s="257"/>
      <c r="N98" s="198">
        <v>48</v>
      </c>
      <c r="O98" s="241" t="s">
        <v>848</v>
      </c>
      <c r="P98" s="207">
        <v>1.7</v>
      </c>
      <c r="Q98" s="208" t="s">
        <v>853</v>
      </c>
      <c r="R98" s="634" t="s">
        <v>307</v>
      </c>
      <c r="S98" s="264"/>
      <c r="T98" s="635" t="s">
        <v>764</v>
      </c>
      <c r="U98" s="635" t="s">
        <v>854</v>
      </c>
      <c r="V98" s="34"/>
      <c r="W98" s="34"/>
      <c r="X98" s="34"/>
      <c r="Y98" s="34"/>
      <c r="Z98" s="34"/>
      <c r="AA98" s="20">
        <v>94</v>
      </c>
      <c r="AB98" s="21">
        <v>47</v>
      </c>
      <c r="AC98" s="22">
        <v>56.68</v>
      </c>
      <c r="AD98" s="23"/>
      <c r="AE98" s="14">
        <v>0.93989999999999996</v>
      </c>
      <c r="AF98" s="12">
        <v>0.92203999999999997</v>
      </c>
      <c r="AG98" s="12">
        <v>0.91917000000000004</v>
      </c>
      <c r="AI98" s="730">
        <v>0.990900000000001</v>
      </c>
      <c r="AJ98" s="731">
        <v>6.45</v>
      </c>
    </row>
    <row r="99" spans="1:36" ht="18.75" customHeight="1" x14ac:dyDescent="0.2">
      <c r="A99" s="325" t="s">
        <v>314</v>
      </c>
      <c r="B99" s="327" t="s">
        <v>930</v>
      </c>
      <c r="C99" s="328">
        <v>0.1</v>
      </c>
      <c r="D99" s="307">
        <f>E87*C99</f>
        <v>5.3000000000000007</v>
      </c>
      <c r="E99" s="303"/>
      <c r="G99" s="304" t="s">
        <v>315</v>
      </c>
      <c r="H99" s="327" t="s">
        <v>1042</v>
      </c>
      <c r="I99" s="285" t="s">
        <v>1042</v>
      </c>
      <c r="J99" s="329">
        <v>0.375</v>
      </c>
      <c r="K99" s="295">
        <f>E87*J99</f>
        <v>19.875</v>
      </c>
      <c r="L99" s="50"/>
      <c r="M99" s="257"/>
      <c r="N99" s="198">
        <v>42</v>
      </c>
      <c r="O99" s="225" t="s">
        <v>502</v>
      </c>
      <c r="P99" s="207">
        <v>1.55</v>
      </c>
      <c r="Q99" s="208" t="s">
        <v>311</v>
      </c>
      <c r="R99" s="634" t="s">
        <v>307</v>
      </c>
      <c r="S99" s="277"/>
      <c r="T99" s="635" t="s">
        <v>758</v>
      </c>
      <c r="U99" s="635" t="s">
        <v>855</v>
      </c>
      <c r="V99" s="34"/>
      <c r="W99" s="34"/>
      <c r="X99" s="34"/>
      <c r="Y99" s="34"/>
      <c r="Z99" s="34"/>
      <c r="AA99" s="20">
        <v>95</v>
      </c>
      <c r="AB99" s="21">
        <v>47.5</v>
      </c>
      <c r="AC99" s="22">
        <v>56.19</v>
      </c>
      <c r="AD99" s="23"/>
      <c r="AE99" s="14">
        <v>0.93889999999999996</v>
      </c>
      <c r="AF99" s="12">
        <v>0.92095000000000005</v>
      </c>
      <c r="AG99" s="12">
        <v>0.91807000000000005</v>
      </c>
      <c r="AI99" s="730">
        <v>0.99080000000000101</v>
      </c>
      <c r="AJ99" s="731">
        <v>6.53</v>
      </c>
    </row>
    <row r="100" spans="1:36" ht="18.75" customHeight="1" x14ac:dyDescent="0.2">
      <c r="A100" s="325" t="s">
        <v>832</v>
      </c>
      <c r="B100" s="520" t="s">
        <v>313</v>
      </c>
      <c r="C100" s="326">
        <v>0.02</v>
      </c>
      <c r="D100" s="307">
        <f>E87*C100</f>
        <v>1.06</v>
      </c>
      <c r="E100" s="303"/>
      <c r="G100" s="312" t="s">
        <v>318</v>
      </c>
      <c r="H100" s="1013" t="s">
        <v>1039</v>
      </c>
      <c r="I100" s="1013"/>
      <c r="J100" s="330">
        <v>0.15</v>
      </c>
      <c r="K100" s="295">
        <f>E87*J100</f>
        <v>7.9499999999999993</v>
      </c>
      <c r="L100" s="50"/>
      <c r="M100" s="257"/>
      <c r="N100" s="198">
        <v>43</v>
      </c>
      <c r="O100" s="241" t="s">
        <v>503</v>
      </c>
      <c r="P100" s="207">
        <v>2</v>
      </c>
      <c r="Q100" s="208" t="s">
        <v>171</v>
      </c>
      <c r="R100" s="634" t="s">
        <v>307</v>
      </c>
      <c r="S100" s="277"/>
      <c r="T100" s="635" t="s">
        <v>759</v>
      </c>
      <c r="U100" s="635" t="s">
        <v>855</v>
      </c>
      <c r="V100" s="34"/>
      <c r="W100" s="34"/>
      <c r="X100" s="34"/>
      <c r="Y100" s="34"/>
      <c r="Z100" s="34"/>
      <c r="AA100" s="20">
        <v>96</v>
      </c>
      <c r="AB100" s="21">
        <v>48</v>
      </c>
      <c r="AC100" s="108">
        <v>55.7</v>
      </c>
      <c r="AD100" s="109"/>
      <c r="AE100" s="14">
        <v>0.93799999999999994</v>
      </c>
      <c r="AF100" s="12">
        <v>0.91986000000000001</v>
      </c>
      <c r="AG100" s="12">
        <v>0.91696999999999995</v>
      </c>
      <c r="AI100" s="730">
        <v>0.99070000000000102</v>
      </c>
      <c r="AJ100" s="731">
        <v>6.6</v>
      </c>
    </row>
    <row r="101" spans="1:36" ht="18.75" customHeight="1" x14ac:dyDescent="0.2">
      <c r="A101" s="325" t="s">
        <v>316</v>
      </c>
      <c r="B101" s="327" t="s">
        <v>317</v>
      </c>
      <c r="C101" s="328">
        <v>0.05</v>
      </c>
      <c r="D101" s="307">
        <f>E87*C101</f>
        <v>2.6500000000000004</v>
      </c>
      <c r="E101" s="303"/>
      <c r="G101" s="312" t="s">
        <v>321</v>
      </c>
      <c r="H101" s="1013" t="s">
        <v>1040</v>
      </c>
      <c r="I101" s="1013"/>
      <c r="J101" s="332">
        <v>0.2</v>
      </c>
      <c r="K101" s="295">
        <f>E87*J101</f>
        <v>10.600000000000001</v>
      </c>
      <c r="L101" s="50"/>
      <c r="M101" s="257"/>
      <c r="N101" s="198">
        <v>46</v>
      </c>
      <c r="O101" s="225" t="s">
        <v>783</v>
      </c>
      <c r="P101" s="207">
        <v>1.55</v>
      </c>
      <c r="Q101" s="208" t="s">
        <v>311</v>
      </c>
      <c r="R101" s="634" t="s">
        <v>307</v>
      </c>
      <c r="S101" s="264"/>
      <c r="T101" s="635" t="s">
        <v>782</v>
      </c>
      <c r="U101" s="635" t="s">
        <v>855</v>
      </c>
      <c r="V101" s="34"/>
      <c r="W101" s="34"/>
      <c r="X101" s="34"/>
      <c r="Y101" s="34"/>
      <c r="Z101" s="34"/>
      <c r="AA101" s="20">
        <v>97</v>
      </c>
      <c r="AB101" s="21">
        <v>48.5</v>
      </c>
      <c r="AC101" s="22">
        <v>55.21</v>
      </c>
      <c r="AD101" s="23"/>
      <c r="AE101" s="14">
        <v>0.93710000000000004</v>
      </c>
      <c r="AF101" s="12">
        <v>0.91876000000000002</v>
      </c>
      <c r="AG101" s="12">
        <v>0.91586000000000001</v>
      </c>
      <c r="AI101" s="730">
        <v>0.99060000000000104</v>
      </c>
      <c r="AJ101" s="731">
        <v>6.68</v>
      </c>
    </row>
    <row r="102" spans="1:36" ht="18.75" customHeight="1" x14ac:dyDescent="0.2">
      <c r="A102" s="325" t="s">
        <v>319</v>
      </c>
      <c r="B102" s="327" t="s">
        <v>320</v>
      </c>
      <c r="C102" s="328">
        <v>0.4</v>
      </c>
      <c r="D102" s="331">
        <f>E87*C102</f>
        <v>21.200000000000003</v>
      </c>
      <c r="E102" s="303"/>
      <c r="G102" s="312" t="s">
        <v>322</v>
      </c>
      <c r="H102" s="1026" t="s">
        <v>934</v>
      </c>
      <c r="I102" s="1026"/>
      <c r="J102" s="328">
        <v>0.5</v>
      </c>
      <c r="K102" s="295">
        <f>E87*J102</f>
        <v>26.5</v>
      </c>
      <c r="L102" s="50"/>
      <c r="M102" s="257"/>
      <c r="N102" s="198">
        <v>47</v>
      </c>
      <c r="O102" s="241" t="s">
        <v>744</v>
      </c>
      <c r="P102" s="207">
        <v>1.55</v>
      </c>
      <c r="Q102" s="208" t="s">
        <v>311</v>
      </c>
      <c r="R102" s="634" t="s">
        <v>307</v>
      </c>
      <c r="S102" s="264"/>
      <c r="T102" s="635" t="s">
        <v>856</v>
      </c>
      <c r="U102" s="635" t="s">
        <v>855</v>
      </c>
      <c r="V102" s="34"/>
      <c r="W102" s="34"/>
      <c r="X102" s="34"/>
      <c r="Y102" s="34"/>
      <c r="Z102" s="34"/>
      <c r="AA102" s="20">
        <v>98</v>
      </c>
      <c r="AB102" s="21">
        <v>49</v>
      </c>
      <c r="AC102" s="22">
        <v>54.72</v>
      </c>
      <c r="AD102" s="23"/>
      <c r="AE102" s="14">
        <v>0.93610000000000004</v>
      </c>
      <c r="AF102" s="12">
        <v>0.91766000000000003</v>
      </c>
      <c r="AG102" s="12">
        <v>0.91474999999999995</v>
      </c>
      <c r="AI102" s="730">
        <v>0.99050000000000105</v>
      </c>
      <c r="AJ102" s="731">
        <v>6.76</v>
      </c>
    </row>
    <row r="103" spans="1:36" ht="18.75" customHeight="1" x14ac:dyDescent="0.2">
      <c r="A103" s="290" t="s">
        <v>925</v>
      </c>
      <c r="B103" s="520" t="s">
        <v>926</v>
      </c>
      <c r="C103" s="294">
        <v>0.1</v>
      </c>
      <c r="D103" s="331">
        <f>E87*C103</f>
        <v>5.3000000000000007</v>
      </c>
      <c r="E103" s="303"/>
      <c r="G103" s="319" t="s">
        <v>302</v>
      </c>
      <c r="H103" s="320" t="s">
        <v>303</v>
      </c>
      <c r="I103" s="320" t="s">
        <v>303</v>
      </c>
      <c r="J103" s="321">
        <v>0.04</v>
      </c>
      <c r="K103" s="322">
        <f>E87*J103</f>
        <v>2.12</v>
      </c>
      <c r="L103" s="50"/>
      <c r="M103" s="338"/>
      <c r="N103" s="198">
        <v>49</v>
      </c>
      <c r="O103" s="225" t="s">
        <v>323</v>
      </c>
      <c r="P103" s="207">
        <v>1.25</v>
      </c>
      <c r="Q103" s="208" t="s">
        <v>306</v>
      </c>
      <c r="R103" s="634" t="s">
        <v>307</v>
      </c>
      <c r="S103" s="264"/>
      <c r="T103" s="635" t="s">
        <v>323</v>
      </c>
      <c r="U103" s="635" t="s">
        <v>855</v>
      </c>
      <c r="V103" s="34"/>
      <c r="W103" s="34"/>
      <c r="X103" s="34"/>
      <c r="Y103" s="34"/>
      <c r="Z103" s="34"/>
      <c r="AA103" s="20">
        <v>99</v>
      </c>
      <c r="AB103" s="21">
        <v>49.5</v>
      </c>
      <c r="AC103" s="22">
        <v>54.22</v>
      </c>
      <c r="AD103" s="23"/>
      <c r="AE103" s="14">
        <v>0.93520000000000003</v>
      </c>
      <c r="AF103" s="12">
        <v>0.91656000000000004</v>
      </c>
      <c r="AG103" s="12">
        <v>0.91363000000000005</v>
      </c>
      <c r="AI103" s="730">
        <v>0.99040000000000195</v>
      </c>
      <c r="AJ103" s="731">
        <v>6.84</v>
      </c>
    </row>
    <row r="104" spans="1:36" ht="18.75" customHeight="1" thickBot="1" x14ac:dyDescent="0.25">
      <c r="A104" s="290" t="s">
        <v>1041</v>
      </c>
      <c r="B104" s="520" t="s">
        <v>1042</v>
      </c>
      <c r="C104" s="294">
        <v>0.2</v>
      </c>
      <c r="D104" s="337">
        <f>E87*C104</f>
        <v>10.600000000000001</v>
      </c>
      <c r="E104" s="303"/>
      <c r="G104" s="325" t="s">
        <v>833</v>
      </c>
      <c r="H104" s="1027" t="s">
        <v>834</v>
      </c>
      <c r="I104" s="1027"/>
      <c r="J104" s="328">
        <v>0.02</v>
      </c>
      <c r="K104" s="333">
        <f>E87*J104</f>
        <v>1.06</v>
      </c>
      <c r="L104" s="50"/>
      <c r="M104" s="257"/>
      <c r="N104" s="198">
        <v>50</v>
      </c>
      <c r="O104" s="334" t="s">
        <v>847</v>
      </c>
      <c r="P104" s="335">
        <v>1.55</v>
      </c>
      <c r="Q104" s="336" t="s">
        <v>311</v>
      </c>
      <c r="R104" s="634" t="s">
        <v>307</v>
      </c>
      <c r="S104" s="264"/>
      <c r="T104" s="635" t="s">
        <v>760</v>
      </c>
      <c r="U104" s="635" t="s">
        <v>855</v>
      </c>
      <c r="V104" s="34"/>
      <c r="W104" s="34"/>
      <c r="X104" s="34"/>
      <c r="Y104" s="34"/>
      <c r="Z104" s="34"/>
      <c r="AA104" s="20">
        <v>100</v>
      </c>
      <c r="AB104" s="21">
        <v>50</v>
      </c>
      <c r="AC104" s="22">
        <v>53.73</v>
      </c>
      <c r="AD104" s="23"/>
      <c r="AE104" s="14">
        <v>0.93420000000000003</v>
      </c>
      <c r="AF104" s="12">
        <v>0.91546000000000005</v>
      </c>
      <c r="AG104" s="12">
        <v>0.91251000000000004</v>
      </c>
      <c r="AI104" s="730">
        <v>0.99030000000000196</v>
      </c>
      <c r="AJ104" s="731">
        <v>6.92</v>
      </c>
    </row>
    <row r="105" spans="1:36" ht="18.75" customHeight="1" thickTop="1" thickBot="1" x14ac:dyDescent="0.25">
      <c r="A105" s="340" t="s">
        <v>324</v>
      </c>
      <c r="B105" s="341" t="s">
        <v>927</v>
      </c>
      <c r="C105" s="342">
        <v>0.25</v>
      </c>
      <c r="D105" s="343">
        <f>E87*C105</f>
        <v>13.25</v>
      </c>
      <c r="E105" s="303"/>
      <c r="G105" s="344" t="s">
        <v>325</v>
      </c>
      <c r="H105" s="1022" t="s">
        <v>326</v>
      </c>
      <c r="I105" s="1022"/>
      <c r="J105" s="345">
        <v>0.15</v>
      </c>
      <c r="K105" s="346">
        <f>E87*J105</f>
        <v>7.9499999999999993</v>
      </c>
      <c r="L105" s="50"/>
      <c r="M105" s="244"/>
      <c r="N105" s="339"/>
      <c r="Q105" s="9"/>
      <c r="R105" s="36"/>
      <c r="S105" s="264"/>
      <c r="T105" s="252"/>
      <c r="U105" s="34"/>
      <c r="V105" s="34"/>
      <c r="W105" s="34"/>
      <c r="X105" s="34"/>
      <c r="Y105" s="34"/>
      <c r="Z105" s="34"/>
      <c r="AA105" s="20">
        <v>101</v>
      </c>
      <c r="AB105" s="21">
        <v>50.5</v>
      </c>
      <c r="AC105" s="22">
        <v>53.24</v>
      </c>
      <c r="AD105" s="23"/>
      <c r="AE105" s="14">
        <v>0.93320000000000003</v>
      </c>
      <c r="AF105" s="12">
        <v>0.91434000000000004</v>
      </c>
      <c r="AG105" s="12">
        <v>0.911385</v>
      </c>
      <c r="AI105" s="730">
        <v>0.99020000000000197</v>
      </c>
      <c r="AJ105" s="731">
        <v>7</v>
      </c>
    </row>
    <row r="106" spans="1:36" ht="24.75" customHeight="1" thickBot="1" x14ac:dyDescent="0.25">
      <c r="A106" s="353"/>
      <c r="B106" s="348"/>
      <c r="C106" s="607"/>
      <c r="D106" s="50"/>
      <c r="E106" s="303"/>
      <c r="G106" s="354"/>
      <c r="H106" s="348"/>
      <c r="I106" s="348"/>
      <c r="J106" s="607"/>
      <c r="K106" s="50"/>
      <c r="L106" s="50"/>
      <c r="M106" s="244"/>
      <c r="N106" s="347"/>
      <c r="O106" s="347" t="s">
        <v>327</v>
      </c>
      <c r="P106" s="347" t="s">
        <v>172</v>
      </c>
      <c r="Q106" s="606" t="s">
        <v>835</v>
      </c>
      <c r="R106" s="36"/>
      <c r="S106" s="264"/>
      <c r="T106" s="363"/>
      <c r="U106" s="34"/>
      <c r="V106" s="34"/>
      <c r="W106" s="34"/>
      <c r="X106" s="34"/>
      <c r="Y106" s="34"/>
      <c r="Z106" s="34"/>
      <c r="AA106" s="20">
        <v>102</v>
      </c>
      <c r="AB106" s="21">
        <v>51</v>
      </c>
      <c r="AC106" s="22">
        <v>52.74</v>
      </c>
      <c r="AD106" s="23"/>
      <c r="AE106" s="14">
        <v>0.93220000000000003</v>
      </c>
      <c r="AF106" s="12">
        <v>0.91322000000000003</v>
      </c>
      <c r="AG106" s="12">
        <v>0.91025999999999996</v>
      </c>
      <c r="AI106" s="730">
        <v>0.99010000000000198</v>
      </c>
      <c r="AJ106" s="731">
        <v>7.07</v>
      </c>
    </row>
    <row r="107" spans="1:36" ht="24.75" customHeight="1" thickTop="1" x14ac:dyDescent="0.2">
      <c r="A107" s="358" t="s">
        <v>330</v>
      </c>
      <c r="B107" s="358" t="s">
        <v>331</v>
      </c>
      <c r="C107" s="358" t="s">
        <v>332</v>
      </c>
      <c r="D107" s="358" t="s">
        <v>43</v>
      </c>
      <c r="E107" s="1028"/>
      <c r="F107" s="1029"/>
      <c r="G107" s="1029"/>
      <c r="H107" s="359" t="s">
        <v>333</v>
      </c>
      <c r="I107" s="1023"/>
      <c r="J107" s="1023"/>
      <c r="K107" s="1023"/>
      <c r="L107" s="532"/>
      <c r="M107" s="244"/>
      <c r="N107" s="349">
        <v>1</v>
      </c>
      <c r="O107" s="350" t="s">
        <v>328</v>
      </c>
      <c r="P107" s="351">
        <v>0.28999999999999998</v>
      </c>
      <c r="Q107" s="664">
        <v>0.56340000000000001</v>
      </c>
      <c r="R107" s="352"/>
      <c r="S107" s="363"/>
      <c r="T107" s="366"/>
      <c r="U107" s="34"/>
      <c r="V107" s="34"/>
      <c r="W107" s="34"/>
      <c r="X107" s="34"/>
      <c r="Y107" s="34"/>
      <c r="Z107" s="34"/>
      <c r="AA107" s="20">
        <v>103</v>
      </c>
      <c r="AB107" s="21">
        <v>51.5</v>
      </c>
      <c r="AC107" s="22">
        <v>52.25</v>
      </c>
      <c r="AD107" s="23"/>
      <c r="AE107" s="14">
        <v>0.93120000000000003</v>
      </c>
      <c r="AF107" s="12">
        <v>0.91209499999999999</v>
      </c>
      <c r="AG107" s="12">
        <v>0.90912499999999996</v>
      </c>
      <c r="AI107" s="730">
        <v>0.99000000000000199</v>
      </c>
      <c r="AJ107" s="731">
        <v>7.15</v>
      </c>
    </row>
    <row r="108" spans="1:36" ht="24.75" customHeight="1" x14ac:dyDescent="0.2">
      <c r="A108" s="724">
        <v>45198</v>
      </c>
      <c r="B108" s="725">
        <v>0.55208333333333304</v>
      </c>
      <c r="C108" s="361"/>
      <c r="D108" s="361"/>
      <c r="E108" s="1024"/>
      <c r="F108" s="1024"/>
      <c r="G108" s="1024"/>
      <c r="H108" s="1024"/>
      <c r="I108" s="1024"/>
      <c r="J108" s="1024"/>
      <c r="K108" s="1024"/>
      <c r="L108" s="367"/>
      <c r="M108" s="244"/>
      <c r="N108" s="355">
        <v>2</v>
      </c>
      <c r="O108" s="356" t="s">
        <v>329</v>
      </c>
      <c r="P108" s="357">
        <v>0.3</v>
      </c>
      <c r="Q108" s="665">
        <v>0.56340000000000001</v>
      </c>
      <c r="R108" s="362"/>
      <c r="S108" s="365"/>
      <c r="T108" s="275"/>
      <c r="U108" s="34"/>
      <c r="V108" s="34"/>
      <c r="W108" s="34"/>
      <c r="X108" s="34"/>
      <c r="Y108" s="34"/>
      <c r="Z108" s="34"/>
      <c r="AA108" s="20">
        <v>104</v>
      </c>
      <c r="AB108" s="21">
        <v>52</v>
      </c>
      <c r="AC108" s="22">
        <v>51.75</v>
      </c>
      <c r="AD108" s="23"/>
      <c r="AE108" s="14">
        <v>0.93020000000000003</v>
      </c>
      <c r="AF108" s="12">
        <v>0.91096999999999995</v>
      </c>
      <c r="AG108" s="12">
        <v>0.90798999999999996</v>
      </c>
      <c r="AI108" s="730">
        <v>0.989900000000002</v>
      </c>
      <c r="AJ108" s="731">
        <v>7.23</v>
      </c>
    </row>
    <row r="109" spans="1:36" ht="24.75" customHeight="1" x14ac:dyDescent="0.2">
      <c r="A109" s="608"/>
      <c r="B109" s="360"/>
      <c r="C109" s="361"/>
      <c r="D109" s="361"/>
      <c r="E109" s="1025"/>
      <c r="F109" s="1025"/>
      <c r="G109" s="1025"/>
      <c r="H109" s="1025"/>
      <c r="I109" s="1025"/>
      <c r="J109" s="1025"/>
      <c r="K109" s="1025"/>
      <c r="L109" s="515"/>
      <c r="M109" s="244"/>
      <c r="N109" s="355">
        <v>3</v>
      </c>
      <c r="O109" s="356" t="s">
        <v>334</v>
      </c>
      <c r="P109" s="357">
        <v>0.28499999999999998</v>
      </c>
      <c r="Q109" s="666">
        <v>0.57969999999999999</v>
      </c>
      <c r="R109" s="362"/>
      <c r="S109" s="365"/>
      <c r="T109" s="275"/>
      <c r="U109" s="34"/>
      <c r="V109" s="34"/>
      <c r="W109" s="34"/>
      <c r="X109" s="34"/>
      <c r="Y109" s="34"/>
      <c r="Z109" s="34"/>
      <c r="AA109" s="20">
        <v>105</v>
      </c>
      <c r="AB109" s="21">
        <v>52.5</v>
      </c>
      <c r="AC109" s="22">
        <v>51.25</v>
      </c>
      <c r="AD109" s="23"/>
      <c r="AE109" s="14">
        <v>0.92920000000000003</v>
      </c>
      <c r="AF109" s="12">
        <v>0.90984500000000001</v>
      </c>
      <c r="AG109" s="12">
        <v>0.90685000000000004</v>
      </c>
      <c r="AI109" s="730">
        <v>0.98980000000000201</v>
      </c>
      <c r="AJ109" s="731">
        <v>7.31</v>
      </c>
    </row>
    <row r="110" spans="1:36" ht="24.75" customHeight="1" x14ac:dyDescent="0.2">
      <c r="A110" s="608"/>
      <c r="B110" s="360"/>
      <c r="C110" s="361"/>
      <c r="D110" s="361"/>
      <c r="E110" s="1025"/>
      <c r="F110" s="1025"/>
      <c r="G110" s="1025"/>
      <c r="H110" s="1025"/>
      <c r="I110" s="1025"/>
      <c r="J110" s="1025"/>
      <c r="K110" s="1025"/>
      <c r="L110" s="515"/>
      <c r="M110" s="244"/>
      <c r="N110" s="355">
        <v>4</v>
      </c>
      <c r="O110" s="356" t="s">
        <v>335</v>
      </c>
      <c r="P110" s="357">
        <v>0.28000000000000003</v>
      </c>
      <c r="Q110" s="666">
        <v>0.56340000000000001</v>
      </c>
      <c r="R110" s="352"/>
      <c r="S110" s="365"/>
      <c r="T110" s="29"/>
      <c r="U110" s="34"/>
      <c r="V110" s="34"/>
      <c r="W110" s="34"/>
      <c r="X110" s="34"/>
      <c r="Y110" s="34"/>
      <c r="Z110" s="34"/>
      <c r="AA110" s="20">
        <v>106</v>
      </c>
      <c r="AB110" s="21">
        <v>53</v>
      </c>
      <c r="AC110" s="22">
        <v>50.75</v>
      </c>
      <c r="AD110" s="23"/>
      <c r="AE110" s="14">
        <v>0.92820000000000003</v>
      </c>
      <c r="AF110" s="12">
        <v>0.90871999999999997</v>
      </c>
      <c r="AG110" s="12">
        <v>0.90571000000000002</v>
      </c>
      <c r="AI110" s="730">
        <v>0.98970000000000202</v>
      </c>
      <c r="AJ110" s="731">
        <v>7.39</v>
      </c>
    </row>
    <row r="111" spans="1:36" ht="24.75" customHeight="1" x14ac:dyDescent="0.2">
      <c r="A111" s="608"/>
      <c r="B111" s="360"/>
      <c r="C111" s="361"/>
      <c r="D111" s="361"/>
      <c r="E111" s="1025"/>
      <c r="F111" s="1025"/>
      <c r="G111" s="1025"/>
      <c r="H111" s="1025"/>
      <c r="I111" s="1025"/>
      <c r="J111" s="1025"/>
      <c r="K111" s="1025"/>
      <c r="L111" s="515"/>
      <c r="M111" s="244"/>
      <c r="N111" s="355">
        <v>5</v>
      </c>
      <c r="O111" s="364" t="s">
        <v>336</v>
      </c>
      <c r="P111" s="357">
        <v>0.28000000000000003</v>
      </c>
      <c r="Q111" s="665">
        <v>0.56340000000000001</v>
      </c>
      <c r="R111" s="36"/>
      <c r="S111" s="609"/>
      <c r="T111" s="243"/>
      <c r="U111" s="34"/>
      <c r="V111" s="34"/>
      <c r="W111" s="34"/>
      <c r="X111" s="34"/>
      <c r="Y111" s="34"/>
      <c r="Z111" s="34"/>
      <c r="AA111" s="20">
        <v>107</v>
      </c>
      <c r="AB111" s="21">
        <v>53.5</v>
      </c>
      <c r="AC111" s="22">
        <v>50.26</v>
      </c>
      <c r="AD111" s="23"/>
      <c r="AE111" s="14">
        <v>0.92720000000000002</v>
      </c>
      <c r="AF111" s="12">
        <v>0.90758499999999998</v>
      </c>
      <c r="AG111" s="12">
        <v>0.90456999999999999</v>
      </c>
      <c r="AI111" s="730">
        <v>0.98960000000000203</v>
      </c>
      <c r="AJ111" s="731">
        <v>7.47</v>
      </c>
    </row>
    <row r="112" spans="1:36" ht="24.75" customHeight="1" x14ac:dyDescent="0.2">
      <c r="A112" s="608"/>
      <c r="B112" s="360"/>
      <c r="C112" s="361"/>
      <c r="D112" s="361"/>
      <c r="E112" s="1025"/>
      <c r="F112" s="1025"/>
      <c r="G112" s="1025"/>
      <c r="H112" s="1025"/>
      <c r="I112" s="1025"/>
      <c r="J112" s="1025"/>
      <c r="K112" s="1025"/>
      <c r="L112" s="515"/>
      <c r="M112" s="244"/>
      <c r="N112" s="355">
        <v>6</v>
      </c>
      <c r="O112" s="356" t="s">
        <v>603</v>
      </c>
      <c r="P112" s="357">
        <v>0.29499999999999998</v>
      </c>
      <c r="Q112" s="666">
        <v>0.57969999999999999</v>
      </c>
      <c r="S112" s="36"/>
      <c r="T112" s="368"/>
      <c r="U112" s="34"/>
      <c r="V112" s="34"/>
      <c r="W112" s="34"/>
      <c r="X112" s="34"/>
      <c r="Y112" s="34"/>
      <c r="Z112" s="34"/>
      <c r="AA112" s="20">
        <v>108</v>
      </c>
      <c r="AB112" s="21">
        <v>54</v>
      </c>
      <c r="AC112" s="22">
        <v>49.76</v>
      </c>
      <c r="AD112" s="23"/>
      <c r="AE112" s="14">
        <v>0.92620000000000002</v>
      </c>
      <c r="AF112" s="12">
        <v>0.90644999999999998</v>
      </c>
      <c r="AG112" s="12">
        <v>0.90342999999999996</v>
      </c>
      <c r="AI112" s="730">
        <v>0.98950000000000204</v>
      </c>
      <c r="AJ112" s="731">
        <v>7.55</v>
      </c>
    </row>
    <row r="113" spans="1:36" ht="24.75" customHeight="1" x14ac:dyDescent="0.2">
      <c r="A113" s="608"/>
      <c r="B113" s="360"/>
      <c r="C113" s="361"/>
      <c r="D113" s="361"/>
      <c r="E113" s="1025"/>
      <c r="F113" s="1025"/>
      <c r="G113" s="1025"/>
      <c r="H113" s="1025"/>
      <c r="I113" s="1025"/>
      <c r="J113" s="1025"/>
      <c r="K113" s="1025"/>
      <c r="L113" s="515"/>
      <c r="M113" s="244"/>
      <c r="N113" s="355">
        <v>7</v>
      </c>
      <c r="O113" s="364" t="s">
        <v>712</v>
      </c>
      <c r="P113" s="357">
        <v>0.28499999999999998</v>
      </c>
      <c r="Q113" s="666">
        <v>0.57969999999999999</v>
      </c>
      <c r="S113" s="277"/>
      <c r="T113" s="243"/>
      <c r="U113" s="34"/>
      <c r="V113" s="34"/>
      <c r="W113" s="34"/>
      <c r="X113" s="34"/>
      <c r="Y113" s="34"/>
      <c r="Z113" s="34"/>
      <c r="AA113" s="20">
        <v>109</v>
      </c>
      <c r="AB113" s="21">
        <v>54.5</v>
      </c>
      <c r="AC113" s="22">
        <v>49.26</v>
      </c>
      <c r="AD113" s="23"/>
      <c r="AE113" s="14">
        <v>0.92520000000000002</v>
      </c>
      <c r="AF113" s="12">
        <v>0.90531499999999998</v>
      </c>
      <c r="AG113" s="12">
        <v>0.90227999999999997</v>
      </c>
      <c r="AI113" s="730">
        <v>0.98940000000000194</v>
      </c>
      <c r="AJ113" s="731">
        <v>7.63</v>
      </c>
    </row>
    <row r="114" spans="1:36" ht="24.75" customHeight="1" x14ac:dyDescent="0.2">
      <c r="A114" s="608"/>
      <c r="B114" s="360"/>
      <c r="C114" s="361"/>
      <c r="D114" s="361"/>
      <c r="E114" s="1025"/>
      <c r="F114" s="1025"/>
      <c r="G114" s="1025"/>
      <c r="H114" s="1025"/>
      <c r="I114" s="1025"/>
      <c r="J114" s="1025"/>
      <c r="K114" s="1025"/>
      <c r="L114" s="515"/>
      <c r="M114" s="244"/>
      <c r="N114" s="355">
        <v>8</v>
      </c>
      <c r="O114" s="364" t="s">
        <v>337</v>
      </c>
      <c r="P114" s="357">
        <v>0.28499999999999998</v>
      </c>
      <c r="Q114" s="666">
        <v>0.56340000000000001</v>
      </c>
      <c r="S114" s="277"/>
      <c r="T114" s="243"/>
      <c r="U114" s="34"/>
      <c r="V114" s="34"/>
      <c r="W114" s="34"/>
      <c r="X114" s="34"/>
      <c r="Y114" s="34"/>
      <c r="Z114" s="34"/>
      <c r="AA114" s="20">
        <v>110</v>
      </c>
      <c r="AB114" s="21">
        <v>55</v>
      </c>
      <c r="AC114" s="22">
        <v>48.76</v>
      </c>
      <c r="AD114" s="23"/>
      <c r="AE114" s="14">
        <v>0.92410000000000003</v>
      </c>
      <c r="AF114" s="12">
        <v>0.90417999999999998</v>
      </c>
      <c r="AG114" s="12">
        <v>0.90112999999999999</v>
      </c>
      <c r="AI114" s="730">
        <v>0.98930000000000196</v>
      </c>
      <c r="AJ114" s="731">
        <v>7.71</v>
      </c>
    </row>
    <row r="115" spans="1:36" ht="24.75" customHeight="1" x14ac:dyDescent="0.2">
      <c r="A115" s="608"/>
      <c r="B115" s="360"/>
      <c r="C115" s="361"/>
      <c r="D115" s="361"/>
      <c r="E115" s="1025"/>
      <c r="F115" s="1025"/>
      <c r="G115" s="1025"/>
      <c r="H115" s="1025"/>
      <c r="I115" s="1025"/>
      <c r="J115" s="1025"/>
      <c r="K115" s="1025"/>
      <c r="L115" s="515"/>
      <c r="M115" s="244"/>
      <c r="N115" s="355">
        <v>9</v>
      </c>
      <c r="O115" s="356" t="s">
        <v>338</v>
      </c>
      <c r="P115" s="357">
        <v>0.3</v>
      </c>
      <c r="Q115" s="665">
        <v>0.56340000000000001</v>
      </c>
      <c r="S115" s="277"/>
      <c r="T115" s="243"/>
      <c r="U115" s="34"/>
      <c r="V115" s="34"/>
      <c r="W115" s="34"/>
      <c r="X115" s="34"/>
      <c r="Y115" s="34"/>
      <c r="Z115" s="34"/>
      <c r="AA115" s="20">
        <v>111</v>
      </c>
      <c r="AB115" s="21">
        <v>55.5</v>
      </c>
      <c r="AC115" s="22">
        <v>48.25</v>
      </c>
      <c r="AD115" s="23"/>
      <c r="AE115" s="14">
        <v>0.92310000000000003</v>
      </c>
      <c r="AF115" s="12">
        <v>0.90304499999999999</v>
      </c>
      <c r="AG115" s="12">
        <v>0.89973000000000003</v>
      </c>
      <c r="AI115" s="730">
        <v>0.98920000000000197</v>
      </c>
      <c r="AJ115" s="731">
        <v>7.79</v>
      </c>
    </row>
    <row r="116" spans="1:36" ht="24.75" customHeight="1" x14ac:dyDescent="0.2">
      <c r="A116" s="608"/>
      <c r="B116" s="360"/>
      <c r="C116" s="361"/>
      <c r="D116" s="361"/>
      <c r="E116" s="1025"/>
      <c r="F116" s="1025"/>
      <c r="G116" s="1025"/>
      <c r="H116" s="1025"/>
      <c r="I116" s="1025"/>
      <c r="J116" s="1025"/>
      <c r="K116" s="1025"/>
      <c r="L116" s="515"/>
      <c r="M116" s="244"/>
      <c r="N116" s="355">
        <v>10</v>
      </c>
      <c r="O116" s="364" t="s">
        <v>339</v>
      </c>
      <c r="P116" s="357">
        <v>0.3</v>
      </c>
      <c r="Q116" s="667">
        <v>0.56340000000000001</v>
      </c>
      <c r="S116" s="277"/>
      <c r="T116" s="243"/>
      <c r="U116" s="34"/>
      <c r="V116" s="34"/>
      <c r="W116" s="34"/>
      <c r="X116" s="34"/>
      <c r="Y116" s="34"/>
      <c r="Z116" s="34"/>
      <c r="AA116" s="20">
        <v>112</v>
      </c>
      <c r="AB116" s="21">
        <v>56</v>
      </c>
      <c r="AC116" s="22">
        <v>47.75</v>
      </c>
      <c r="AD116" s="23"/>
      <c r="AE116" s="14">
        <v>0.92200000000000004</v>
      </c>
      <c r="AF116" s="12">
        <v>0.90190999999999999</v>
      </c>
      <c r="AG116" s="12">
        <v>0.89832999999999996</v>
      </c>
      <c r="AI116" s="730">
        <v>0.98910000000000198</v>
      </c>
      <c r="AJ116" s="731">
        <v>7.87</v>
      </c>
    </row>
    <row r="117" spans="1:36" ht="24.75" customHeight="1" x14ac:dyDescent="0.2">
      <c r="A117" s="608"/>
      <c r="B117" s="360"/>
      <c r="C117" s="361"/>
      <c r="D117" s="361"/>
      <c r="E117" s="1025"/>
      <c r="F117" s="1025"/>
      <c r="G117" s="1025"/>
      <c r="H117" s="1025"/>
      <c r="I117" s="1025"/>
      <c r="J117" s="1025"/>
      <c r="K117" s="1025"/>
      <c r="L117" s="515"/>
      <c r="M117" s="3"/>
      <c r="N117" s="355">
        <v>11</v>
      </c>
      <c r="O117" s="364" t="s">
        <v>49</v>
      </c>
      <c r="P117" s="357">
        <v>0.26</v>
      </c>
      <c r="Q117" s="665">
        <v>0.57969999999999999</v>
      </c>
      <c r="S117" s="277"/>
      <c r="T117" s="243"/>
      <c r="U117" s="34"/>
      <c r="V117" s="34"/>
      <c r="W117" s="34"/>
      <c r="X117" s="34"/>
      <c r="Y117" s="34"/>
      <c r="Z117" s="34"/>
      <c r="AA117" s="20">
        <v>113</v>
      </c>
      <c r="AB117" s="21">
        <v>56.5</v>
      </c>
      <c r="AC117" s="22">
        <v>47.25</v>
      </c>
      <c r="AD117" s="23"/>
      <c r="AE117" s="14">
        <v>0.92100000000000004</v>
      </c>
      <c r="AF117" s="12">
        <v>0.90076500000000004</v>
      </c>
      <c r="AG117" s="12">
        <v>0.89743499999999998</v>
      </c>
      <c r="AI117" s="730">
        <v>0.98900000000000199</v>
      </c>
      <c r="AJ117" s="731">
        <v>7.95</v>
      </c>
    </row>
    <row r="118" spans="1:36" ht="24.75" customHeight="1" x14ac:dyDescent="0.2">
      <c r="A118" s="608"/>
      <c r="B118" s="360"/>
      <c r="C118" s="361"/>
      <c r="D118" s="361"/>
      <c r="E118" s="1025"/>
      <c r="F118" s="1025"/>
      <c r="G118" s="1025"/>
      <c r="H118" s="1025"/>
      <c r="I118" s="1025"/>
      <c r="J118" s="1025"/>
      <c r="K118" s="1025"/>
      <c r="L118" s="515"/>
      <c r="M118" s="3"/>
      <c r="N118" s="355">
        <v>12</v>
      </c>
      <c r="O118" s="364" t="s">
        <v>340</v>
      </c>
      <c r="P118" s="357">
        <v>0.28999999999999998</v>
      </c>
      <c r="Q118" s="665">
        <v>0.56340000000000001</v>
      </c>
      <c r="S118" s="277"/>
      <c r="T118" s="243"/>
      <c r="U118" s="34"/>
      <c r="AA118" s="20">
        <v>114</v>
      </c>
      <c r="AB118" s="21">
        <v>57</v>
      </c>
      <c r="AC118" s="22">
        <v>46.75</v>
      </c>
      <c r="AD118" s="23"/>
      <c r="AE118" s="14">
        <v>0.91990000000000005</v>
      </c>
      <c r="AF118" s="12">
        <v>0.89961999999999998</v>
      </c>
      <c r="AG118" s="12">
        <v>0.89654</v>
      </c>
      <c r="AI118" s="730">
        <v>0.988900000000002</v>
      </c>
      <c r="AJ118" s="731">
        <v>8.0299999999999994</v>
      </c>
    </row>
    <row r="119" spans="1:36" ht="24.75" customHeight="1" x14ac:dyDescent="0.2">
      <c r="A119" s="608"/>
      <c r="B119" s="360"/>
      <c r="C119" s="361"/>
      <c r="D119" s="361"/>
      <c r="E119" s="1025"/>
      <c r="F119" s="1025"/>
      <c r="G119" s="1025"/>
      <c r="H119" s="1025"/>
      <c r="I119" s="1025"/>
      <c r="J119" s="1025"/>
      <c r="K119" s="1025"/>
      <c r="L119" s="515"/>
      <c r="M119" s="244"/>
      <c r="N119" s="355">
        <v>13</v>
      </c>
      <c r="O119" s="356" t="s">
        <v>341</v>
      </c>
      <c r="P119" s="357">
        <v>0.25</v>
      </c>
      <c r="Q119" s="665">
        <v>0.57969999999999999</v>
      </c>
      <c r="S119" s="277"/>
      <c r="T119" s="243"/>
      <c r="AA119" s="20">
        <v>115</v>
      </c>
      <c r="AB119" s="21">
        <v>57.5</v>
      </c>
      <c r="AC119" s="22">
        <v>46.24</v>
      </c>
      <c r="AD119" s="23"/>
      <c r="AE119" s="14">
        <v>0.91879999999999995</v>
      </c>
      <c r="AF119" s="12">
        <v>0.89847500000000002</v>
      </c>
      <c r="AG119" s="12">
        <v>0.89538499999999999</v>
      </c>
      <c r="AI119" s="730">
        <v>0.98880000000000201</v>
      </c>
      <c r="AJ119" s="731">
        <v>8.11</v>
      </c>
    </row>
    <row r="120" spans="1:36" ht="24.75" customHeight="1" x14ac:dyDescent="0.2">
      <c r="A120" s="608"/>
      <c r="B120" s="360"/>
      <c r="C120" s="361"/>
      <c r="D120" s="361"/>
      <c r="E120" s="1025"/>
      <c r="F120" s="1025"/>
      <c r="G120" s="1025"/>
      <c r="H120" s="1025"/>
      <c r="I120" s="1025"/>
      <c r="J120" s="1025"/>
      <c r="K120" s="1025"/>
      <c r="L120" s="515"/>
      <c r="M120" s="244"/>
      <c r="N120" s="355">
        <v>14</v>
      </c>
      <c r="O120" s="364" t="s">
        <v>342</v>
      </c>
      <c r="P120" s="357">
        <v>0.28999999999999998</v>
      </c>
      <c r="Q120" s="665">
        <v>0.57969999999999999</v>
      </c>
      <c r="S120" s="277"/>
      <c r="T120" s="243"/>
      <c r="AA120" s="20">
        <v>116</v>
      </c>
      <c r="AB120" s="21">
        <v>58</v>
      </c>
      <c r="AC120" s="22">
        <v>45.74</v>
      </c>
      <c r="AD120" s="23"/>
      <c r="AE120" s="14">
        <v>0.91769999999999996</v>
      </c>
      <c r="AF120" s="12">
        <v>0.89732999999999996</v>
      </c>
      <c r="AG120" s="12">
        <v>0.89422999999999997</v>
      </c>
      <c r="AI120" s="730">
        <v>0.98870000000000202</v>
      </c>
      <c r="AJ120" s="731">
        <v>8.19</v>
      </c>
    </row>
    <row r="121" spans="1:36" ht="24.75" customHeight="1" x14ac:dyDescent="0.2">
      <c r="A121" s="608"/>
      <c r="B121" s="360"/>
      <c r="C121" s="361"/>
      <c r="D121" s="361"/>
      <c r="E121" s="1025"/>
      <c r="F121" s="1025"/>
      <c r="G121" s="1025"/>
      <c r="H121" s="1025"/>
      <c r="I121" s="1025"/>
      <c r="J121" s="1025"/>
      <c r="K121" s="1025"/>
      <c r="L121" s="515"/>
      <c r="M121" s="244"/>
      <c r="N121" s="355">
        <v>15</v>
      </c>
      <c r="O121" s="356" t="s">
        <v>279</v>
      </c>
      <c r="P121" s="357">
        <v>0.28499999999999998</v>
      </c>
      <c r="Q121" s="665">
        <v>0.56340000000000001</v>
      </c>
      <c r="S121" s="277"/>
      <c r="T121" s="243"/>
      <c r="AA121" s="20">
        <v>117</v>
      </c>
      <c r="AB121" s="21">
        <v>58.5</v>
      </c>
      <c r="AC121" s="22">
        <v>45.23</v>
      </c>
      <c r="AD121" s="23"/>
      <c r="AE121" s="14">
        <v>0.91669999999999996</v>
      </c>
      <c r="AF121" s="12">
        <v>0.89617500000000005</v>
      </c>
      <c r="AG121" s="12">
        <v>0.89307000000000003</v>
      </c>
      <c r="AI121" s="730">
        <v>0.98860000000000203</v>
      </c>
      <c r="AJ121" s="731">
        <v>8.27</v>
      </c>
    </row>
    <row r="122" spans="1:36" ht="24.75" customHeight="1" x14ac:dyDescent="0.2">
      <c r="A122" s="608"/>
      <c r="B122" s="360"/>
      <c r="C122" s="361"/>
      <c r="D122" s="361"/>
      <c r="E122" s="1025"/>
      <c r="F122" s="1025"/>
      <c r="G122" s="1025"/>
      <c r="H122" s="1025"/>
      <c r="I122" s="1025"/>
      <c r="J122" s="1025"/>
      <c r="K122" s="1025"/>
      <c r="L122" s="515"/>
      <c r="M122" s="244"/>
      <c r="N122" s="355">
        <v>16</v>
      </c>
      <c r="O122" s="364" t="s">
        <v>343</v>
      </c>
      <c r="P122" s="357">
        <v>0.28000000000000003</v>
      </c>
      <c r="Q122" s="665">
        <v>0.57969999999999999</v>
      </c>
      <c r="T122" s="243"/>
      <c r="AA122" s="20">
        <v>118</v>
      </c>
      <c r="AB122" s="21">
        <v>59</v>
      </c>
      <c r="AC122" s="22">
        <v>44.72</v>
      </c>
      <c r="AD122" s="23"/>
      <c r="AE122" s="14">
        <v>0.91559999999999997</v>
      </c>
      <c r="AF122" s="12">
        <v>0.89502000000000004</v>
      </c>
      <c r="AG122" s="12">
        <v>0.89190999999999998</v>
      </c>
      <c r="AI122" s="730">
        <v>0.98850000000000204</v>
      </c>
      <c r="AJ122" s="731">
        <v>8.35</v>
      </c>
    </row>
    <row r="123" spans="1:36" ht="24" customHeight="1" thickBot="1" x14ac:dyDescent="0.25">
      <c r="A123" s="608"/>
      <c r="B123" s="360"/>
      <c r="C123" s="361"/>
      <c r="D123" s="361"/>
      <c r="E123" s="1025"/>
      <c r="F123" s="1025"/>
      <c r="G123" s="1025"/>
      <c r="H123" s="1025"/>
      <c r="I123" s="1025"/>
      <c r="J123" s="1025"/>
      <c r="K123" s="1025"/>
      <c r="L123" s="515"/>
      <c r="M123" s="244"/>
      <c r="N123" s="369">
        <v>17</v>
      </c>
      <c r="O123" s="370" t="s">
        <v>344</v>
      </c>
      <c r="P123" s="371">
        <v>0.3</v>
      </c>
      <c r="Q123" s="668">
        <v>0.56340000000000001</v>
      </c>
      <c r="T123" s="243"/>
      <c r="W123" s="314"/>
      <c r="X123" s="314"/>
      <c r="Y123" s="314"/>
      <c r="AA123" s="20">
        <v>119</v>
      </c>
      <c r="AB123" s="21">
        <v>59.5</v>
      </c>
      <c r="AC123" s="22">
        <v>44.22</v>
      </c>
      <c r="AD123" s="23"/>
      <c r="AE123" s="14">
        <v>0.91439999999999999</v>
      </c>
      <c r="AF123" s="12">
        <v>0.89386500000000002</v>
      </c>
      <c r="AG123" s="12">
        <v>0.89075000000000004</v>
      </c>
      <c r="AI123" s="730">
        <v>0.98810000000000198</v>
      </c>
      <c r="AJ123" s="731">
        <v>8.68</v>
      </c>
    </row>
    <row r="124" spans="1:36" ht="24" customHeight="1" thickTop="1" x14ac:dyDescent="0.2">
      <c r="A124" s="608"/>
      <c r="B124" s="360"/>
      <c r="C124" s="361"/>
      <c r="D124" s="361"/>
      <c r="E124" s="516"/>
      <c r="F124" s="517"/>
      <c r="G124" s="517"/>
      <c r="H124" s="517"/>
      <c r="I124" s="517"/>
      <c r="J124" s="517"/>
      <c r="K124" s="518"/>
      <c r="L124" s="515"/>
      <c r="M124" s="244"/>
      <c r="Q124" s="34"/>
      <c r="R124" s="36"/>
      <c r="T124" s="243"/>
      <c r="W124" s="314"/>
      <c r="X124" s="314"/>
      <c r="Y124" s="314"/>
      <c r="AA124" s="20">
        <v>120</v>
      </c>
      <c r="AB124" s="21">
        <v>60</v>
      </c>
      <c r="AC124" s="22">
        <v>43.71</v>
      </c>
      <c r="AD124" s="23"/>
      <c r="AE124" s="14">
        <v>0.9133</v>
      </c>
      <c r="AF124" s="12">
        <v>0.89271</v>
      </c>
      <c r="AG124" s="12">
        <v>0.88958999999999999</v>
      </c>
      <c r="AI124" s="730">
        <v>0.98800000000000199</v>
      </c>
      <c r="AJ124" s="731">
        <v>8.76</v>
      </c>
    </row>
    <row r="125" spans="1:36" ht="24" customHeight="1" x14ac:dyDescent="0.2">
      <c r="A125" s="608"/>
      <c r="B125" s="360"/>
      <c r="C125" s="361"/>
      <c r="D125" s="361"/>
      <c r="E125" s="1025"/>
      <c r="F125" s="1025"/>
      <c r="G125" s="1025"/>
      <c r="H125" s="1025"/>
      <c r="I125" s="1025"/>
      <c r="J125" s="1025"/>
      <c r="K125" s="1025"/>
      <c r="L125" s="515"/>
      <c r="M125" s="244"/>
      <c r="T125" s="243"/>
      <c r="W125" s="314"/>
      <c r="X125" s="314"/>
      <c r="Y125" s="314"/>
      <c r="Z125" s="314"/>
      <c r="AA125" s="20">
        <v>121</v>
      </c>
      <c r="AB125" s="21">
        <v>60.5</v>
      </c>
      <c r="AC125" s="108">
        <v>43.2</v>
      </c>
      <c r="AD125" s="109"/>
      <c r="AE125" s="14">
        <v>0.91220000000000001</v>
      </c>
      <c r="AF125" s="12">
        <v>0.89155499999999999</v>
      </c>
      <c r="AG125" s="12">
        <v>0.88841999999999999</v>
      </c>
      <c r="AI125" s="730">
        <v>0.987900000000002</v>
      </c>
      <c r="AJ125" s="731">
        <v>8.84</v>
      </c>
    </row>
    <row r="126" spans="1:36" ht="24" customHeight="1" x14ac:dyDescent="0.2">
      <c r="A126" s="608"/>
      <c r="B126" s="360"/>
      <c r="C126" s="361"/>
      <c r="D126" s="361"/>
      <c r="E126" s="1025"/>
      <c r="F126" s="1025"/>
      <c r="G126" s="1025"/>
      <c r="H126" s="1025"/>
      <c r="I126" s="1025"/>
      <c r="J126" s="1025"/>
      <c r="K126" s="1025"/>
      <c r="L126" s="515"/>
      <c r="M126" s="244"/>
      <c r="T126" s="243"/>
      <c r="W126" s="314"/>
      <c r="X126" s="314"/>
      <c r="Y126" s="314"/>
      <c r="Z126" s="314"/>
      <c r="AA126" s="20">
        <v>122</v>
      </c>
      <c r="AB126" s="21">
        <v>61</v>
      </c>
      <c r="AC126" s="108">
        <v>42.69</v>
      </c>
      <c r="AD126" s="109"/>
      <c r="AE126" s="14">
        <v>0.91110000000000002</v>
      </c>
      <c r="AF126" s="12">
        <v>0.89039999999999997</v>
      </c>
      <c r="AG126" s="12">
        <v>0.88724999999999998</v>
      </c>
      <c r="AI126" s="730">
        <v>0.98780000000000201</v>
      </c>
      <c r="AJ126" s="731">
        <v>8.93</v>
      </c>
    </row>
    <row r="127" spans="1:36" ht="24.75" customHeight="1" x14ac:dyDescent="0.2">
      <c r="A127" s="608"/>
      <c r="B127" s="360"/>
      <c r="C127" s="361"/>
      <c r="D127" s="361"/>
      <c r="E127" s="1025"/>
      <c r="F127" s="1025"/>
      <c r="G127" s="1025"/>
      <c r="H127" s="1025"/>
      <c r="I127" s="1025"/>
      <c r="J127" s="1025"/>
      <c r="K127" s="1025"/>
      <c r="L127" s="515"/>
      <c r="S127" s="314"/>
      <c r="T127" s="243"/>
      <c r="W127" s="314"/>
      <c r="X127" s="314"/>
      <c r="Y127" s="314"/>
      <c r="Z127" s="314"/>
      <c r="AA127" s="20">
        <v>123</v>
      </c>
      <c r="AB127" s="21">
        <v>61.5</v>
      </c>
      <c r="AC127" s="108">
        <v>42.18</v>
      </c>
      <c r="AD127" s="109"/>
      <c r="AE127" s="14">
        <v>0.91</v>
      </c>
      <c r="AF127" s="12">
        <v>0.889235</v>
      </c>
      <c r="AG127" s="12">
        <v>0.88607999999999998</v>
      </c>
      <c r="AI127" s="730">
        <v>0.98770000000000202</v>
      </c>
      <c r="AJ127" s="731">
        <v>9.01</v>
      </c>
    </row>
    <row r="128" spans="1:36" ht="24.75" customHeight="1" x14ac:dyDescent="0.2">
      <c r="A128" s="608"/>
      <c r="B128" s="360"/>
      <c r="C128" s="361"/>
      <c r="D128" s="361"/>
      <c r="E128" s="1025"/>
      <c r="F128" s="1025"/>
      <c r="G128" s="1025"/>
      <c r="H128" s="1025"/>
      <c r="I128" s="1025"/>
      <c r="J128" s="1025"/>
      <c r="K128" s="1025"/>
      <c r="L128" s="515"/>
      <c r="T128" s="243"/>
      <c r="W128" s="314"/>
      <c r="X128" s="314"/>
      <c r="Y128" s="314"/>
      <c r="Z128" s="314"/>
      <c r="AA128" s="20">
        <v>124</v>
      </c>
      <c r="AB128" s="21">
        <v>62</v>
      </c>
      <c r="AC128" s="108">
        <v>41.67</v>
      </c>
      <c r="AD128" s="109"/>
      <c r="AE128" s="14">
        <v>0.90880000000000005</v>
      </c>
      <c r="AF128" s="12">
        <v>0.88807000000000003</v>
      </c>
      <c r="AG128" s="12">
        <v>0.88490999999999997</v>
      </c>
      <c r="AI128" s="730">
        <v>0.98760000000000203</v>
      </c>
      <c r="AJ128" s="731">
        <v>9.09</v>
      </c>
    </row>
    <row r="129" spans="1:36" ht="24.75" customHeight="1" x14ac:dyDescent="0.2">
      <c r="A129" s="608"/>
      <c r="B129" s="360"/>
      <c r="C129" s="361"/>
      <c r="D129" s="361"/>
      <c r="E129" s="1025"/>
      <c r="F129" s="1025"/>
      <c r="G129" s="1025"/>
      <c r="H129" s="1025"/>
      <c r="I129" s="1025"/>
      <c r="J129" s="1025"/>
      <c r="K129" s="1025"/>
      <c r="L129" s="515"/>
      <c r="W129" s="314"/>
      <c r="X129" s="314"/>
      <c r="Y129" s="314"/>
      <c r="Z129" s="314"/>
      <c r="AA129" s="20">
        <v>125</v>
      </c>
      <c r="AB129" s="21">
        <v>62.5</v>
      </c>
      <c r="AC129" s="108">
        <v>41.16</v>
      </c>
      <c r="AD129" s="109"/>
      <c r="AE129" s="14">
        <v>0.90769999999999995</v>
      </c>
      <c r="AF129" s="12">
        <v>0.88690500000000005</v>
      </c>
      <c r="AG129" s="12">
        <v>0.88373500000000005</v>
      </c>
      <c r="AI129" s="730">
        <v>0.98750000000000204</v>
      </c>
      <c r="AJ129" s="731">
        <v>9.17</v>
      </c>
    </row>
    <row r="130" spans="1:36" ht="24.75" customHeight="1" x14ac:dyDescent="0.2">
      <c r="A130" s="608"/>
      <c r="B130" s="360"/>
      <c r="C130" s="361"/>
      <c r="D130" s="361"/>
      <c r="E130" s="1025"/>
      <c r="F130" s="1025"/>
      <c r="G130" s="1025"/>
      <c r="H130" s="1025"/>
      <c r="I130" s="1025"/>
      <c r="J130" s="1025"/>
      <c r="K130" s="1025"/>
      <c r="L130" s="515"/>
      <c r="W130" s="314"/>
      <c r="X130" s="314"/>
      <c r="Y130" s="314"/>
      <c r="Z130" s="314"/>
      <c r="AA130" s="20">
        <v>126</v>
      </c>
      <c r="AB130" s="21">
        <v>63</v>
      </c>
      <c r="AC130" s="108">
        <v>40.65</v>
      </c>
      <c r="AD130" s="109"/>
      <c r="AE130" s="14">
        <v>0.90649999999999997</v>
      </c>
      <c r="AF130" s="12">
        <v>0.88573999999999997</v>
      </c>
      <c r="AG130" s="12">
        <v>0.88256000000000001</v>
      </c>
      <c r="AI130" s="730">
        <v>0.98740000000000205</v>
      </c>
      <c r="AJ130" s="731">
        <v>9.26</v>
      </c>
    </row>
    <row r="131" spans="1:36" ht="24" customHeight="1" x14ac:dyDescent="0.2">
      <c r="A131" s="608"/>
      <c r="B131" s="610"/>
      <c r="C131" s="360"/>
      <c r="D131" s="361"/>
      <c r="E131" s="1025"/>
      <c r="F131" s="1025"/>
      <c r="G131" s="1025"/>
      <c r="H131" s="1025"/>
      <c r="I131" s="1025"/>
      <c r="J131" s="1025"/>
      <c r="K131" s="1025"/>
      <c r="L131" s="515"/>
      <c r="Z131" s="314"/>
      <c r="AA131" s="20">
        <v>127</v>
      </c>
      <c r="AB131" s="21">
        <v>63.5</v>
      </c>
      <c r="AC131" s="108">
        <v>40.14</v>
      </c>
      <c r="AD131" s="109"/>
      <c r="AE131" s="14">
        <v>0.90539999999999998</v>
      </c>
      <c r="AF131" s="12">
        <v>0.88456500000000005</v>
      </c>
      <c r="AG131" s="12">
        <v>0.88138000000000005</v>
      </c>
      <c r="AI131" s="730">
        <v>0.98730000000000195</v>
      </c>
      <c r="AJ131" s="731">
        <v>9.34</v>
      </c>
    </row>
    <row r="132" spans="1:36" ht="27.75" customHeight="1" x14ac:dyDescent="0.2">
      <c r="A132" s="608"/>
      <c r="B132" s="610"/>
      <c r="C132" s="360"/>
      <c r="D132" s="361"/>
      <c r="E132" s="1025"/>
      <c r="F132" s="1025"/>
      <c r="G132" s="1025"/>
      <c r="H132" s="1025"/>
      <c r="I132" s="1025"/>
      <c r="J132" s="1025"/>
      <c r="K132" s="1025"/>
      <c r="L132" s="515"/>
      <c r="Z132" s="314"/>
      <c r="AA132" s="20">
        <v>128</v>
      </c>
      <c r="AB132" s="21">
        <v>64</v>
      </c>
      <c r="AC132" s="108">
        <v>39.619999999999997</v>
      </c>
      <c r="AD132" s="109"/>
      <c r="AE132" s="14">
        <v>0.9042</v>
      </c>
      <c r="AF132" s="12">
        <v>0.88339000000000001</v>
      </c>
      <c r="AG132" s="12">
        <v>0.88019999999999998</v>
      </c>
      <c r="AI132" s="730">
        <v>0.98720000000000196</v>
      </c>
      <c r="AJ132" s="731">
        <v>9.42</v>
      </c>
    </row>
    <row r="133" spans="1:36" ht="24" customHeight="1" x14ac:dyDescent="0.2">
      <c r="I133" s="611"/>
      <c r="J133" s="611"/>
      <c r="K133" s="612"/>
      <c r="L133" s="373"/>
      <c r="AA133" s="20">
        <v>129</v>
      </c>
      <c r="AB133" s="21">
        <v>64.5</v>
      </c>
      <c r="AC133" s="108">
        <v>39.11</v>
      </c>
      <c r="AD133" s="109"/>
      <c r="AE133" s="14">
        <v>0.90310000000000001</v>
      </c>
      <c r="AF133" s="12">
        <v>0.88221499999999997</v>
      </c>
      <c r="AG133" s="12">
        <v>0.87901499999999999</v>
      </c>
      <c r="AI133" s="730">
        <v>0.98710000000000198</v>
      </c>
      <c r="AJ133" s="731">
        <v>9.51</v>
      </c>
    </row>
    <row r="134" spans="1:36" ht="24" customHeight="1" x14ac:dyDescent="0.2">
      <c r="I134" s="613"/>
      <c r="J134" s="613"/>
      <c r="K134" s="614"/>
      <c r="L134" s="373"/>
      <c r="T134" s="314"/>
      <c r="AA134" s="20">
        <v>130</v>
      </c>
      <c r="AB134" s="21">
        <v>65</v>
      </c>
      <c r="AC134" s="108">
        <v>38.6</v>
      </c>
      <c r="AD134" s="109"/>
      <c r="AE134" s="14">
        <v>0.90190000000000003</v>
      </c>
      <c r="AF134" s="12">
        <v>0.88104000000000005</v>
      </c>
      <c r="AG134" s="12">
        <v>0.87783</v>
      </c>
      <c r="AI134" s="730">
        <v>0.98700000000000199</v>
      </c>
      <c r="AJ134" s="731">
        <v>9.59</v>
      </c>
    </row>
    <row r="135" spans="1:36" ht="24" customHeight="1" x14ac:dyDescent="0.2">
      <c r="AA135" s="20">
        <v>131</v>
      </c>
      <c r="AB135" s="21">
        <v>65.5</v>
      </c>
      <c r="AC135" s="108">
        <v>38.08</v>
      </c>
      <c r="AD135" s="109"/>
      <c r="AE135" s="14">
        <v>0.90069999999999995</v>
      </c>
      <c r="AF135" s="12">
        <v>0.87986500000000001</v>
      </c>
      <c r="AG135" s="12">
        <v>0.87665000000000004</v>
      </c>
      <c r="AI135" s="730">
        <v>0.986900000000002</v>
      </c>
      <c r="AJ135" s="731">
        <v>9.67</v>
      </c>
    </row>
    <row r="136" spans="1:36" ht="24" customHeight="1" x14ac:dyDescent="0.2">
      <c r="AA136" s="20">
        <v>132</v>
      </c>
      <c r="AB136" s="21">
        <v>66</v>
      </c>
      <c r="AC136" s="108">
        <v>37.57</v>
      </c>
      <c r="AD136" s="109"/>
      <c r="AE136" s="14">
        <v>0.89959999999999996</v>
      </c>
      <c r="AF136" s="12">
        <v>0.87868999999999997</v>
      </c>
      <c r="AG136" s="12">
        <v>0.87546999999999997</v>
      </c>
      <c r="AI136" s="730">
        <v>0.98680000000000201</v>
      </c>
      <c r="AJ136" s="731">
        <v>9.75</v>
      </c>
    </row>
    <row r="137" spans="1:36" ht="24" customHeight="1" x14ac:dyDescent="0.2">
      <c r="AA137" s="20">
        <v>133</v>
      </c>
      <c r="AB137" s="21">
        <v>66.5</v>
      </c>
      <c r="AC137" s="108">
        <v>37.049999999999997</v>
      </c>
      <c r="AD137" s="109"/>
      <c r="AE137" s="14">
        <v>0.89839999999999998</v>
      </c>
      <c r="AF137" s="12">
        <v>0.87750499999999998</v>
      </c>
      <c r="AG137" s="12">
        <v>0.87427999999999995</v>
      </c>
      <c r="AI137" s="730">
        <v>0.98670000000000202</v>
      </c>
      <c r="AJ137" s="731">
        <v>9.84</v>
      </c>
    </row>
    <row r="138" spans="1:36" ht="24" customHeight="1" x14ac:dyDescent="0.2">
      <c r="AA138" s="20">
        <v>134</v>
      </c>
      <c r="AB138" s="21">
        <v>67</v>
      </c>
      <c r="AC138" s="108">
        <v>36.54</v>
      </c>
      <c r="AD138" s="109"/>
      <c r="AE138" s="14">
        <v>0.8972</v>
      </c>
      <c r="AF138" s="12">
        <v>0.87631999999999999</v>
      </c>
      <c r="AG138" s="12">
        <v>0.87309000000000003</v>
      </c>
      <c r="AI138" s="730">
        <v>0.98660000000000203</v>
      </c>
      <c r="AJ138" s="731">
        <v>9.92</v>
      </c>
    </row>
    <row r="139" spans="1:36" ht="24" customHeight="1" x14ac:dyDescent="0.2">
      <c r="A139" s="374"/>
      <c r="B139" s="374"/>
      <c r="C139" s="374"/>
      <c r="D139" s="374"/>
      <c r="E139" s="374"/>
      <c r="F139" s="374"/>
      <c r="G139" s="374"/>
      <c r="H139" s="374"/>
      <c r="I139" s="374"/>
      <c r="J139" s="374"/>
      <c r="K139" s="374"/>
      <c r="L139" s="374"/>
      <c r="AA139" s="20">
        <v>135</v>
      </c>
      <c r="AB139" s="21">
        <v>67.5</v>
      </c>
      <c r="AC139" s="108">
        <v>36.020000000000003</v>
      </c>
      <c r="AD139" s="109"/>
      <c r="AE139" s="14">
        <v>0.89600000000000002</v>
      </c>
      <c r="AF139" s="12">
        <v>0.87514000000000003</v>
      </c>
      <c r="AG139" s="12">
        <v>0.87190000000000001</v>
      </c>
      <c r="AI139" s="730">
        <v>0.98650000000000204</v>
      </c>
      <c r="AJ139" s="731">
        <v>10</v>
      </c>
    </row>
    <row r="140" spans="1:36" ht="18.75" customHeight="1" x14ac:dyDescent="0.2">
      <c r="A140" s="1030" t="s">
        <v>345</v>
      </c>
      <c r="B140" s="1030"/>
      <c r="C140" s="1030"/>
      <c r="D140" s="1030"/>
      <c r="E140" s="1030"/>
      <c r="F140" s="1030"/>
      <c r="G140" s="1030"/>
      <c r="H140" s="1030"/>
      <c r="I140" s="1030"/>
      <c r="J140" s="1030"/>
      <c r="K140" s="1030"/>
      <c r="L140" s="533"/>
      <c r="AA140" s="20">
        <v>136</v>
      </c>
      <c r="AB140" s="21">
        <v>68</v>
      </c>
      <c r="AC140" s="108">
        <v>35.5</v>
      </c>
      <c r="AD140" s="109"/>
      <c r="AE140" s="14">
        <v>0.89480000000000004</v>
      </c>
      <c r="AF140" s="12">
        <v>0.87395999999999996</v>
      </c>
      <c r="AG140" s="12">
        <v>0.87070999999999998</v>
      </c>
      <c r="AI140" s="730">
        <v>0.98640000000000205</v>
      </c>
      <c r="AJ140" s="731">
        <v>10.09</v>
      </c>
    </row>
    <row r="141" spans="1:36" ht="19.5" customHeight="1" x14ac:dyDescent="0.2">
      <c r="A141" s="1031" t="s">
        <v>908</v>
      </c>
      <c r="B141" s="1031"/>
      <c r="C141" s="1031"/>
      <c r="D141" s="1031"/>
      <c r="E141" s="1031"/>
      <c r="F141" s="1031"/>
      <c r="G141" s="1031"/>
      <c r="H141" s="1031"/>
      <c r="I141" s="1031"/>
      <c r="J141" s="1031"/>
      <c r="K141" s="1031"/>
      <c r="L141" s="375"/>
      <c r="AA141" s="20">
        <v>137</v>
      </c>
      <c r="AB141" s="21">
        <v>68.5</v>
      </c>
      <c r="AC141" s="108">
        <v>34.99</v>
      </c>
      <c r="AD141" s="109"/>
      <c r="AE141" s="14">
        <v>0.89359999999999995</v>
      </c>
      <c r="AF141" s="12">
        <v>0.87277000000000005</v>
      </c>
      <c r="AG141" s="12">
        <v>0.86951999999999996</v>
      </c>
      <c r="AI141" s="730">
        <v>0.98630000000000195</v>
      </c>
      <c r="AJ141" s="731">
        <v>10.17</v>
      </c>
    </row>
    <row r="142" spans="1:36" ht="19.5" customHeight="1" x14ac:dyDescent="0.2">
      <c r="A142" s="1032" t="s">
        <v>909</v>
      </c>
      <c r="B142" s="1033"/>
      <c r="C142" s="1033"/>
      <c r="D142" s="1033"/>
      <c r="E142" s="1033"/>
      <c r="F142" s="1033"/>
      <c r="G142" s="1033"/>
      <c r="H142" s="1033"/>
      <c r="I142" s="1033"/>
      <c r="J142" s="1033"/>
      <c r="K142" s="1034"/>
      <c r="L142" s="376"/>
      <c r="AA142" s="20">
        <v>138</v>
      </c>
      <c r="AB142" s="21">
        <v>69</v>
      </c>
      <c r="AC142" s="108">
        <v>34.47</v>
      </c>
      <c r="AD142" s="109"/>
      <c r="AE142" s="14">
        <v>0.89229999999999998</v>
      </c>
      <c r="AF142" s="12">
        <v>0.87158000000000002</v>
      </c>
      <c r="AG142" s="12">
        <v>0.86833000000000005</v>
      </c>
      <c r="AI142" s="730">
        <v>0.98620000000000196</v>
      </c>
      <c r="AJ142" s="731">
        <v>10.25</v>
      </c>
    </row>
    <row r="143" spans="1:36" ht="19.5" customHeight="1" x14ac:dyDescent="0.2">
      <c r="A143" s="1032" t="s">
        <v>919</v>
      </c>
      <c r="B143" s="1033"/>
      <c r="C143" s="1033"/>
      <c r="D143" s="1033"/>
      <c r="E143" s="1033"/>
      <c r="F143" s="1033"/>
      <c r="G143" s="1033"/>
      <c r="H143" s="1033"/>
      <c r="I143" s="1033"/>
      <c r="J143" s="1033"/>
      <c r="K143" s="1034"/>
      <c r="L143" s="376"/>
      <c r="V143" s="314"/>
      <c r="AA143" s="20">
        <v>139</v>
      </c>
      <c r="AB143" s="21">
        <v>69.5</v>
      </c>
      <c r="AC143" s="108">
        <v>33.950000000000003</v>
      </c>
      <c r="AD143" s="109"/>
      <c r="AE143" s="14">
        <v>0.8911</v>
      </c>
      <c r="AF143" s="12">
        <v>0.87039</v>
      </c>
      <c r="AG143" s="12">
        <v>0.86712999999999996</v>
      </c>
      <c r="AI143" s="730">
        <v>0.98610000000000197</v>
      </c>
      <c r="AJ143" s="731">
        <v>10.34</v>
      </c>
    </row>
    <row r="144" spans="1:36" ht="19.5" customHeight="1" x14ac:dyDescent="0.2">
      <c r="A144" s="1037" t="s">
        <v>910</v>
      </c>
      <c r="B144" s="1037"/>
      <c r="C144" s="1037"/>
      <c r="D144" s="1037"/>
      <c r="E144" s="1037"/>
      <c r="F144" s="1037"/>
      <c r="G144" s="1037"/>
      <c r="H144" s="1037"/>
      <c r="I144" s="1037"/>
      <c r="J144" s="1037"/>
      <c r="K144" s="1037"/>
      <c r="L144" s="377"/>
      <c r="U144" s="314"/>
      <c r="AA144" s="20">
        <v>140</v>
      </c>
      <c r="AB144" s="21">
        <v>70</v>
      </c>
      <c r="AC144" s="108">
        <v>33.43</v>
      </c>
      <c r="AD144" s="109"/>
      <c r="AE144" s="14">
        <v>0.88990000000000002</v>
      </c>
      <c r="AF144" s="12">
        <v>0.86919999999999997</v>
      </c>
      <c r="AG144" s="12">
        <v>0.86592999999999998</v>
      </c>
      <c r="AI144" s="730">
        <v>0.98600000000000199</v>
      </c>
      <c r="AJ144" s="731">
        <v>10.42</v>
      </c>
    </row>
    <row r="145" spans="1:36" ht="19.5" customHeight="1" x14ac:dyDescent="0.2">
      <c r="A145" s="1037" t="s">
        <v>911</v>
      </c>
      <c r="B145" s="1037"/>
      <c r="C145" s="1037"/>
      <c r="D145" s="1037"/>
      <c r="E145" s="1037"/>
      <c r="F145" s="1037"/>
      <c r="G145" s="1037"/>
      <c r="H145" s="1037"/>
      <c r="I145" s="1037"/>
      <c r="J145" s="1037"/>
      <c r="K145" s="1037"/>
      <c r="L145" s="377"/>
      <c r="AA145" s="20">
        <v>141</v>
      </c>
      <c r="AB145" s="21">
        <v>70.5</v>
      </c>
      <c r="AC145" s="108">
        <v>32.909999999999997</v>
      </c>
      <c r="AD145" s="109"/>
      <c r="AE145" s="14">
        <v>0.88859999999999995</v>
      </c>
      <c r="AF145" s="12">
        <v>0.86799999999999999</v>
      </c>
      <c r="AG145" s="12">
        <v>0.86472499999999997</v>
      </c>
      <c r="AI145" s="730">
        <v>0.985900000000002</v>
      </c>
      <c r="AJ145" s="731">
        <v>10.5</v>
      </c>
    </row>
    <row r="146" spans="1:36" ht="19.5" customHeight="1" x14ac:dyDescent="0.2">
      <c r="A146" s="1037" t="s">
        <v>888</v>
      </c>
      <c r="B146" s="1037"/>
      <c r="C146" s="1037"/>
      <c r="D146" s="1037"/>
      <c r="E146" s="1037"/>
      <c r="F146" s="1037"/>
      <c r="G146" s="1037"/>
      <c r="H146" s="1037"/>
      <c r="I146" s="1037"/>
      <c r="J146" s="1037"/>
      <c r="K146" s="1037"/>
      <c r="L146" s="377"/>
      <c r="AA146" s="20">
        <v>142</v>
      </c>
      <c r="AB146" s="21">
        <v>71</v>
      </c>
      <c r="AC146" s="108">
        <v>32.380000000000003</v>
      </c>
      <c r="AD146" s="109"/>
      <c r="AE146" s="14">
        <v>0.88739999999999997</v>
      </c>
      <c r="AF146" s="12">
        <v>0.86680000000000001</v>
      </c>
      <c r="AG146" s="12">
        <v>0.86351999999999995</v>
      </c>
      <c r="AI146" s="730">
        <v>0.98580000000000201</v>
      </c>
      <c r="AJ146" s="731">
        <v>10.59</v>
      </c>
    </row>
    <row r="147" spans="1:36" ht="19.5" customHeight="1" x14ac:dyDescent="0.2">
      <c r="A147" s="1037" t="s">
        <v>912</v>
      </c>
      <c r="B147" s="1037"/>
      <c r="C147" s="1037"/>
      <c r="D147" s="1037"/>
      <c r="E147" s="1037"/>
      <c r="F147" s="1037"/>
      <c r="G147" s="1037"/>
      <c r="H147" s="1037"/>
      <c r="I147" s="1037"/>
      <c r="J147" s="1037"/>
      <c r="K147" s="1037"/>
      <c r="L147" s="377"/>
      <c r="AA147" s="20">
        <v>143</v>
      </c>
      <c r="AB147" s="21">
        <v>71.5</v>
      </c>
      <c r="AC147" s="108">
        <v>31.86</v>
      </c>
      <c r="AD147" s="109"/>
      <c r="AE147" s="14">
        <v>0.8861</v>
      </c>
      <c r="AF147" s="12">
        <v>0.86560000000000004</v>
      </c>
      <c r="AG147" s="12">
        <v>0.86231000000000002</v>
      </c>
      <c r="AI147" s="730">
        <v>0.98570000000000202</v>
      </c>
      <c r="AJ147" s="731">
        <v>10.67</v>
      </c>
    </row>
    <row r="148" spans="1:36" s="9" customFormat="1" ht="19.5" customHeight="1" x14ac:dyDescent="0.2">
      <c r="A148" s="1037" t="s">
        <v>913</v>
      </c>
      <c r="B148" s="1037"/>
      <c r="C148" s="1037"/>
      <c r="D148" s="1037"/>
      <c r="E148" s="1037"/>
      <c r="F148" s="1037"/>
      <c r="G148" s="1037"/>
      <c r="H148" s="1037"/>
      <c r="I148" s="1037"/>
      <c r="J148" s="1037"/>
      <c r="K148" s="1037"/>
      <c r="L148" s="377"/>
      <c r="N148"/>
      <c r="O148"/>
      <c r="P148"/>
      <c r="Q148"/>
      <c r="R148" s="2"/>
      <c r="S148"/>
      <c r="AA148" s="20">
        <v>144</v>
      </c>
      <c r="AB148" s="21">
        <v>72</v>
      </c>
      <c r="AC148" s="108">
        <v>31.34</v>
      </c>
      <c r="AD148" s="109"/>
      <c r="AE148" s="14">
        <v>0.88490000000000002</v>
      </c>
      <c r="AF148" s="12">
        <v>0.86439999999999995</v>
      </c>
      <c r="AG148" s="12">
        <v>0.86109999999999998</v>
      </c>
      <c r="AI148" s="730">
        <v>0.98560000000000203</v>
      </c>
      <c r="AJ148" s="731">
        <v>10.75</v>
      </c>
    </row>
    <row r="149" spans="1:36" s="9" customFormat="1" ht="19.5" customHeight="1" x14ac:dyDescent="0.2">
      <c r="A149" s="1037" t="s">
        <v>914</v>
      </c>
      <c r="B149" s="1037"/>
      <c r="C149" s="1037"/>
      <c r="D149" s="1037"/>
      <c r="E149" s="1037"/>
      <c r="F149" s="1037"/>
      <c r="G149" s="1037"/>
      <c r="H149" s="1037"/>
      <c r="I149" s="1037"/>
      <c r="J149" s="1037"/>
      <c r="K149" s="1037"/>
      <c r="L149" s="377"/>
      <c r="N149"/>
      <c r="O149"/>
      <c r="P149"/>
      <c r="Q149"/>
      <c r="R149" s="2"/>
      <c r="AA149" s="20">
        <v>145</v>
      </c>
      <c r="AB149" s="21">
        <v>72.5</v>
      </c>
      <c r="AC149" s="108">
        <v>30.82</v>
      </c>
      <c r="AD149" s="109"/>
      <c r="AE149" s="14">
        <v>0.88360000000000005</v>
      </c>
      <c r="AF149" s="12">
        <v>0.86319999999999997</v>
      </c>
      <c r="AG149" s="12">
        <v>0.85989499999999996</v>
      </c>
      <c r="AI149" s="730">
        <v>0.98550000000000204</v>
      </c>
      <c r="AJ149" s="731">
        <v>10.84</v>
      </c>
    </row>
    <row r="150" spans="1:36" s="9" customFormat="1" ht="19.5" customHeight="1" x14ac:dyDescent="0.2">
      <c r="A150" s="1037" t="s">
        <v>915</v>
      </c>
      <c r="B150" s="1037"/>
      <c r="C150" s="1037"/>
      <c r="D150" s="1037"/>
      <c r="E150" s="1037"/>
      <c r="F150" s="1037"/>
      <c r="G150" s="1037"/>
      <c r="H150" s="1037"/>
      <c r="I150" s="1037"/>
      <c r="J150" s="1037"/>
      <c r="K150" s="1037"/>
      <c r="L150" s="377"/>
      <c r="N150"/>
      <c r="O150"/>
      <c r="P150"/>
      <c r="Q150"/>
      <c r="R150" s="2"/>
      <c r="AA150" s="20">
        <v>146</v>
      </c>
      <c r="AB150" s="21">
        <v>73</v>
      </c>
      <c r="AC150" s="108">
        <v>30.29</v>
      </c>
      <c r="AD150" s="109"/>
      <c r="AE150" s="14">
        <v>0.88229999999999997</v>
      </c>
      <c r="AF150" s="12">
        <v>0.86199999999999999</v>
      </c>
      <c r="AG150" s="12">
        <v>0.85868999999999995</v>
      </c>
      <c r="AI150" s="730">
        <v>0.98540000000000205</v>
      </c>
      <c r="AJ150" s="731">
        <v>10.92</v>
      </c>
    </row>
    <row r="151" spans="1:36" s="9" customFormat="1" ht="19.5" customHeight="1" x14ac:dyDescent="0.2">
      <c r="A151" s="1037" t="s">
        <v>916</v>
      </c>
      <c r="B151" s="1037"/>
      <c r="C151" s="1037"/>
      <c r="D151" s="1037"/>
      <c r="E151" s="1037"/>
      <c r="F151" s="1037"/>
      <c r="G151" s="1037"/>
      <c r="H151" s="1037"/>
      <c r="I151" s="1037"/>
      <c r="J151" s="1037"/>
      <c r="K151" s="1037"/>
      <c r="L151" s="377"/>
      <c r="R151" s="2"/>
      <c r="AA151" s="20">
        <v>147</v>
      </c>
      <c r="AB151" s="21">
        <v>73.5</v>
      </c>
      <c r="AC151" s="108">
        <v>29.76</v>
      </c>
      <c r="AD151" s="109"/>
      <c r="AE151" s="14">
        <v>0.88100000000000001</v>
      </c>
      <c r="AF151" s="12">
        <v>0.86079000000000006</v>
      </c>
      <c r="AG151" s="12">
        <v>0.85747499999999999</v>
      </c>
      <c r="AI151" s="730">
        <v>0.98530000000000195</v>
      </c>
      <c r="AJ151" s="731">
        <v>11</v>
      </c>
    </row>
    <row r="152" spans="1:36" s="9" customFormat="1" ht="19.5" customHeight="1" x14ac:dyDescent="0.2">
      <c r="A152" s="1037" t="s">
        <v>917</v>
      </c>
      <c r="B152" s="1037"/>
      <c r="C152" s="1037"/>
      <c r="D152" s="1037"/>
      <c r="E152" s="1037"/>
      <c r="F152" s="1037"/>
      <c r="G152" s="1037"/>
      <c r="H152" s="1037"/>
      <c r="I152" s="1037"/>
      <c r="J152" s="1037"/>
      <c r="K152" s="1037"/>
      <c r="L152" s="377"/>
      <c r="R152" s="2"/>
      <c r="AA152" s="20">
        <v>148</v>
      </c>
      <c r="AB152" s="21">
        <v>74</v>
      </c>
      <c r="AC152" s="108">
        <v>29.24</v>
      </c>
      <c r="AD152" s="109"/>
      <c r="AE152" s="14">
        <v>0.87970000000000004</v>
      </c>
      <c r="AF152" s="12">
        <v>0.85958000000000001</v>
      </c>
      <c r="AG152" s="12">
        <v>0.85626000000000002</v>
      </c>
      <c r="AI152" s="730">
        <v>0.98520000000000196</v>
      </c>
      <c r="AJ152" s="731">
        <v>11.09</v>
      </c>
    </row>
    <row r="153" spans="1:36" s="9" customFormat="1" ht="19.5" customHeight="1" x14ac:dyDescent="0.2">
      <c r="A153" s="1037" t="s">
        <v>918</v>
      </c>
      <c r="B153" s="1037"/>
      <c r="C153" s="1037"/>
      <c r="D153" s="1037"/>
      <c r="E153" s="1037"/>
      <c r="F153" s="1037"/>
      <c r="G153" s="1037"/>
      <c r="H153" s="1037"/>
      <c r="I153" s="1037"/>
      <c r="J153" s="1037"/>
      <c r="K153" s="1037"/>
      <c r="L153" s="377"/>
      <c r="R153" s="2"/>
      <c r="AA153" s="20">
        <v>149</v>
      </c>
      <c r="AB153" s="21">
        <v>74.5</v>
      </c>
      <c r="AC153" s="108">
        <v>28.71</v>
      </c>
      <c r="AD153" s="109"/>
      <c r="AE153" s="14">
        <v>0.87839999999999996</v>
      </c>
      <c r="AF153" s="12">
        <v>0.85836999999999997</v>
      </c>
      <c r="AG153" s="12">
        <v>0.85504000000000002</v>
      </c>
      <c r="AI153" s="730">
        <v>0.98510000000000197</v>
      </c>
      <c r="AJ153" s="731">
        <v>11.17</v>
      </c>
    </row>
    <row r="154" spans="1:36" s="9" customFormat="1" ht="19.5" customHeight="1" x14ac:dyDescent="0.2">
      <c r="A154" s="1037" t="s">
        <v>889</v>
      </c>
      <c r="B154" s="1037"/>
      <c r="C154" s="1037"/>
      <c r="D154" s="1037"/>
      <c r="E154" s="1037"/>
      <c r="F154" s="1037"/>
      <c r="G154" s="1037"/>
      <c r="H154" s="1037"/>
      <c r="I154" s="1037"/>
      <c r="J154" s="1037"/>
      <c r="K154" s="1037"/>
      <c r="L154" s="514"/>
      <c r="R154" s="2"/>
      <c r="AA154" s="20">
        <v>150</v>
      </c>
      <c r="AB154" s="21">
        <v>75</v>
      </c>
      <c r="AC154" s="108">
        <v>28.19</v>
      </c>
      <c r="AD154" s="109"/>
      <c r="AE154" s="14">
        <v>0.87709999999999999</v>
      </c>
      <c r="AF154" s="12">
        <v>0.85716000000000003</v>
      </c>
      <c r="AG154" s="12">
        <v>0.85382000000000002</v>
      </c>
      <c r="AI154" s="730">
        <v>0.98500000000000199</v>
      </c>
      <c r="AJ154" s="731">
        <v>11.26</v>
      </c>
    </row>
    <row r="155" spans="1:36" s="9" customFormat="1" ht="19.5" customHeight="1" x14ac:dyDescent="0.2">
      <c r="A155" s="1038" t="s">
        <v>890</v>
      </c>
      <c r="B155" s="1038"/>
      <c r="C155" s="1038"/>
      <c r="D155" s="1038"/>
      <c r="E155" s="1038"/>
      <c r="F155" s="1038"/>
      <c r="G155" s="1038"/>
      <c r="H155" s="1038"/>
      <c r="I155" s="1038"/>
      <c r="J155" s="1038"/>
      <c r="K155" s="1038"/>
      <c r="R155" s="2"/>
      <c r="AA155" s="20">
        <v>151</v>
      </c>
      <c r="AB155" s="21">
        <v>75.5</v>
      </c>
      <c r="AC155" s="22">
        <v>27.66</v>
      </c>
      <c r="AD155" s="23"/>
      <c r="AE155" s="14">
        <v>0.87580000000000002</v>
      </c>
      <c r="AF155" s="12">
        <v>0.85594499999999996</v>
      </c>
      <c r="AG155" s="12">
        <v>0.85260999999999998</v>
      </c>
      <c r="AI155" s="730">
        <v>0.984900000000002</v>
      </c>
      <c r="AJ155" s="731">
        <v>11.34</v>
      </c>
    </row>
    <row r="156" spans="1:36" s="9" customFormat="1" ht="19.5" customHeight="1" x14ac:dyDescent="0.2">
      <c r="A156" s="378"/>
      <c r="B156" s="379"/>
      <c r="C156" s="380"/>
      <c r="D156" s="379"/>
      <c r="E156" s="379"/>
      <c r="F156" s="379"/>
      <c r="G156" s="381"/>
      <c r="H156" s="379"/>
      <c r="I156" s="382"/>
      <c r="J156" s="383"/>
      <c r="K156" s="384"/>
      <c r="L156" s="384"/>
      <c r="R156" s="2"/>
      <c r="AA156" s="20">
        <v>152</v>
      </c>
      <c r="AB156" s="21">
        <v>76</v>
      </c>
      <c r="AC156" s="22">
        <v>27.13</v>
      </c>
      <c r="AD156" s="23"/>
      <c r="AE156" s="14">
        <v>0.87450000000000006</v>
      </c>
      <c r="AF156" s="12">
        <v>0.85472999999999999</v>
      </c>
      <c r="AG156" s="12">
        <v>0.85140000000000005</v>
      </c>
      <c r="AI156" s="730">
        <v>0.98480000000000201</v>
      </c>
      <c r="AJ156" s="731">
        <v>11.43</v>
      </c>
    </row>
    <row r="157" spans="1:36" s="9" customFormat="1" ht="16.5" customHeight="1" x14ac:dyDescent="0.2">
      <c r="G157" s="381"/>
      <c r="H157" s="379"/>
      <c r="I157" s="378"/>
      <c r="J157" s="384"/>
      <c r="K157" s="384"/>
      <c r="L157" s="384"/>
      <c r="M157" s="523"/>
      <c r="R157" s="2"/>
      <c r="AA157" s="20">
        <v>153</v>
      </c>
      <c r="AB157" s="21">
        <v>76.5</v>
      </c>
      <c r="AC157" s="108">
        <v>26.6</v>
      </c>
      <c r="AD157" s="109"/>
      <c r="AE157" s="14">
        <v>0.87319999999999998</v>
      </c>
      <c r="AF157" s="12">
        <v>0.85351500000000002</v>
      </c>
      <c r="AG157" s="12">
        <v>0.85017500000000001</v>
      </c>
      <c r="AI157" s="730">
        <v>0.98470000000000202</v>
      </c>
      <c r="AJ157" s="731">
        <v>11.51</v>
      </c>
    </row>
    <row r="158" spans="1:36" ht="16.5" customHeight="1" x14ac:dyDescent="0.2">
      <c r="G158" s="381"/>
      <c r="I158" s="378"/>
      <c r="J158" s="34"/>
      <c r="K158" s="384"/>
      <c r="L158" s="384"/>
      <c r="M158" s="314"/>
      <c r="N158" s="9"/>
      <c r="O158" s="9"/>
      <c r="P158" s="9"/>
      <c r="Q158" s="9"/>
      <c r="S158" s="9"/>
      <c r="AA158" s="20">
        <v>154</v>
      </c>
      <c r="AB158" s="21">
        <v>77</v>
      </c>
      <c r="AC158" s="22">
        <v>26.07</v>
      </c>
      <c r="AD158" s="23"/>
      <c r="AE158" s="14">
        <v>0.87180000000000002</v>
      </c>
      <c r="AF158" s="12">
        <v>0.85229999999999995</v>
      </c>
      <c r="AG158" s="12">
        <v>0.84894999999999998</v>
      </c>
      <c r="AI158" s="730">
        <v>0.98460000000000203</v>
      </c>
      <c r="AJ158" s="731">
        <v>11.59</v>
      </c>
    </row>
    <row r="159" spans="1:36" ht="16.5" customHeight="1" x14ac:dyDescent="0.2">
      <c r="A159" s="1035"/>
      <c r="B159" s="1035"/>
      <c r="C159" s="1035"/>
      <c r="D159" s="1035"/>
      <c r="E159" s="1035"/>
      <c r="F159" s="1035"/>
      <c r="G159" s="1035"/>
      <c r="H159" s="1035"/>
      <c r="I159" s="1035"/>
      <c r="J159" s="1035"/>
      <c r="K159" s="1035"/>
      <c r="L159" s="384"/>
      <c r="N159" s="9"/>
      <c r="O159" s="9"/>
      <c r="P159" s="9"/>
      <c r="Q159" s="9"/>
      <c r="AA159" s="20">
        <v>155</v>
      </c>
      <c r="AB159" s="21">
        <v>77.5</v>
      </c>
      <c r="AC159" s="22">
        <v>25.54</v>
      </c>
      <c r="AD159" s="23"/>
      <c r="AE159" s="14">
        <v>0.87050000000000005</v>
      </c>
      <c r="AF159" s="12">
        <v>0.85107500000000003</v>
      </c>
      <c r="AG159" s="12">
        <v>0.84772499999999995</v>
      </c>
      <c r="AI159" s="730">
        <v>0.98450000000000204</v>
      </c>
      <c r="AJ159" s="731">
        <v>11.68</v>
      </c>
    </row>
    <row r="160" spans="1:36" ht="16.5" customHeight="1" x14ac:dyDescent="0.2">
      <c r="A160" s="1036"/>
      <c r="B160" s="1036"/>
      <c r="C160" s="1036"/>
      <c r="D160" s="1036"/>
      <c r="E160" s="1036"/>
      <c r="F160" s="1036"/>
      <c r="G160" s="1036"/>
      <c r="H160" s="1036"/>
      <c r="I160" s="1036"/>
      <c r="J160" s="1036"/>
      <c r="K160" s="1036"/>
      <c r="N160" s="9"/>
      <c r="O160" s="9"/>
      <c r="P160" s="9"/>
      <c r="Q160" s="9"/>
      <c r="AA160" s="20">
        <v>156</v>
      </c>
      <c r="AB160" s="21">
        <v>78</v>
      </c>
      <c r="AC160" s="22">
        <v>25.01</v>
      </c>
      <c r="AD160" s="23"/>
      <c r="AE160" s="14">
        <v>0.86909999999999998</v>
      </c>
      <c r="AF160" s="12">
        <v>0.84984999999999999</v>
      </c>
      <c r="AG160" s="385">
        <v>0.84650000000000003</v>
      </c>
      <c r="AI160" s="730">
        <v>0.98440000000000205</v>
      </c>
      <c r="AJ160" s="731">
        <v>11.76</v>
      </c>
    </row>
    <row r="161" spans="1:36" ht="16.5" customHeight="1" x14ac:dyDescent="0.2">
      <c r="A161" s="386"/>
      <c r="N161" s="9"/>
      <c r="O161" s="9"/>
      <c r="P161" s="9"/>
      <c r="Q161" s="9"/>
      <c r="AA161" s="20">
        <v>157</v>
      </c>
      <c r="AB161" s="21">
        <v>78.5</v>
      </c>
      <c r="AC161" s="22">
        <v>24.47</v>
      </c>
      <c r="AD161" s="23"/>
      <c r="AE161" s="14">
        <v>0.86780000000000002</v>
      </c>
      <c r="AF161" s="12">
        <v>0.84862499999999996</v>
      </c>
      <c r="AG161" s="12">
        <v>0.84526999999999997</v>
      </c>
      <c r="AI161" s="730">
        <v>0.98430000000000195</v>
      </c>
      <c r="AJ161" s="731">
        <v>11.85</v>
      </c>
    </row>
    <row r="162" spans="1:36" ht="16.5" customHeight="1" x14ac:dyDescent="0.2">
      <c r="N162" s="9"/>
      <c r="O162" s="9"/>
      <c r="P162" s="9"/>
      <c r="Q162" s="9"/>
      <c r="AA162" s="20">
        <v>158</v>
      </c>
      <c r="AB162" s="21">
        <v>79</v>
      </c>
      <c r="AC162" s="22">
        <v>23.94</v>
      </c>
      <c r="AD162" s="23"/>
      <c r="AE162" s="14">
        <v>0.86639999999999995</v>
      </c>
      <c r="AF162" s="385">
        <v>0.84740000000000004</v>
      </c>
      <c r="AG162" s="385">
        <v>0.84404000000000001</v>
      </c>
      <c r="AI162" s="730">
        <v>0.98420000000000196</v>
      </c>
      <c r="AJ162" s="731">
        <v>11.93</v>
      </c>
    </row>
    <row r="163" spans="1:36" ht="16.5" customHeight="1" x14ac:dyDescent="0.2">
      <c r="A163" s="386"/>
      <c r="AA163" s="20">
        <v>159</v>
      </c>
      <c r="AB163" s="21">
        <v>79.5</v>
      </c>
      <c r="AC163" s="108">
        <v>23.4</v>
      </c>
      <c r="AD163" s="109"/>
      <c r="AE163" s="14">
        <v>0.86499999999999999</v>
      </c>
      <c r="AF163" s="12">
        <v>0.84616999999999998</v>
      </c>
      <c r="AG163" s="12">
        <v>0.84280500000000003</v>
      </c>
      <c r="AI163" s="730">
        <v>0.98410000000000197</v>
      </c>
      <c r="AJ163" s="731">
        <v>12.02</v>
      </c>
    </row>
    <row r="164" spans="1:36" ht="16.5" customHeight="1" x14ac:dyDescent="0.2">
      <c r="AA164" s="20">
        <v>160</v>
      </c>
      <c r="AB164" s="21">
        <v>80</v>
      </c>
      <c r="AC164" s="22">
        <v>22.87</v>
      </c>
      <c r="AD164" s="23"/>
      <c r="AE164" s="14">
        <v>0.86360000000000003</v>
      </c>
      <c r="AF164" s="12">
        <v>0.84494000000000002</v>
      </c>
      <c r="AG164" s="12">
        <v>0.84157000000000004</v>
      </c>
      <c r="AI164" s="730">
        <v>0.98400000000000198</v>
      </c>
      <c r="AJ164" s="731">
        <v>12.1</v>
      </c>
    </row>
    <row r="165" spans="1:36" ht="16.5" customHeight="1" x14ac:dyDescent="0.2">
      <c r="AA165" s="20">
        <v>161</v>
      </c>
      <c r="AB165" s="21">
        <v>80.5</v>
      </c>
      <c r="AC165" s="22">
        <v>22.33</v>
      </c>
      <c r="AD165" s="23"/>
      <c r="AE165" s="14">
        <v>0.86229999999999996</v>
      </c>
      <c r="AF165" s="12">
        <v>0.84369499999999997</v>
      </c>
      <c r="AG165" s="12">
        <v>0.84033000000000002</v>
      </c>
      <c r="AI165" s="730">
        <v>0.983900000000002</v>
      </c>
      <c r="AJ165" s="731">
        <v>12.19</v>
      </c>
    </row>
    <row r="166" spans="1:36" ht="16.5" customHeight="1" x14ac:dyDescent="0.2">
      <c r="AA166" s="20">
        <v>162</v>
      </c>
      <c r="AB166" s="21">
        <v>81</v>
      </c>
      <c r="AC166" s="108">
        <v>21.8</v>
      </c>
      <c r="AD166" s="109"/>
      <c r="AE166" s="14">
        <v>0.86080000000000001</v>
      </c>
      <c r="AF166" s="12">
        <v>0.84245000000000003</v>
      </c>
      <c r="AG166" s="12">
        <v>0.83909</v>
      </c>
      <c r="AI166" s="730">
        <v>0.98380000000000201</v>
      </c>
      <c r="AJ166" s="731">
        <v>12.28</v>
      </c>
    </row>
    <row r="167" spans="1:36" ht="16.5" customHeight="1" x14ac:dyDescent="0.2">
      <c r="AA167" s="20">
        <v>163</v>
      </c>
      <c r="AB167" s="21">
        <v>81.5</v>
      </c>
      <c r="AC167" s="22">
        <v>21.26</v>
      </c>
      <c r="AD167" s="23"/>
      <c r="AE167" s="14">
        <v>0.85940000000000005</v>
      </c>
      <c r="AF167" s="12">
        <v>0.84121000000000001</v>
      </c>
      <c r="AG167" s="12">
        <v>0.83784000000000003</v>
      </c>
      <c r="AI167" s="730">
        <v>0.98370000000000202</v>
      </c>
      <c r="AJ167" s="731">
        <v>12.36</v>
      </c>
    </row>
    <row r="168" spans="1:36" ht="16.5" customHeight="1" x14ac:dyDescent="0.2">
      <c r="AA168" s="20">
        <v>164</v>
      </c>
      <c r="AB168" s="21">
        <v>82</v>
      </c>
      <c r="AC168" s="22">
        <v>20.72</v>
      </c>
      <c r="AD168" s="23"/>
      <c r="AE168" s="14">
        <v>0.85799999999999998</v>
      </c>
      <c r="AF168" s="12">
        <v>0.83996999999999999</v>
      </c>
      <c r="AG168" s="12">
        <v>0.83658999999999994</v>
      </c>
      <c r="AI168" s="730">
        <v>0.98360000000000203</v>
      </c>
      <c r="AJ168" s="731">
        <v>12.45</v>
      </c>
    </row>
    <row r="169" spans="1:36" ht="16.5" customHeight="1" x14ac:dyDescent="0.2">
      <c r="AA169" s="20">
        <v>165</v>
      </c>
      <c r="AB169" s="21">
        <v>82.5</v>
      </c>
      <c r="AC169" s="22">
        <v>20.18</v>
      </c>
      <c r="AD169" s="23"/>
      <c r="AE169" s="14">
        <v>0.85660000000000003</v>
      </c>
      <c r="AF169" s="12">
        <v>0.83872000000000002</v>
      </c>
      <c r="AG169" s="12">
        <v>0.83533500000000005</v>
      </c>
      <c r="AI169" s="730">
        <v>0.98350000000000204</v>
      </c>
      <c r="AJ169" s="731">
        <v>12.53</v>
      </c>
    </row>
    <row r="170" spans="1:36" ht="16.5" customHeight="1" x14ac:dyDescent="0.2">
      <c r="AA170" s="20">
        <v>166</v>
      </c>
      <c r="AB170" s="21">
        <v>83</v>
      </c>
      <c r="AC170" s="22">
        <v>19.64</v>
      </c>
      <c r="AD170" s="23"/>
      <c r="AE170" s="14">
        <v>0.85519999999999996</v>
      </c>
      <c r="AF170" s="12">
        <v>0.83747000000000005</v>
      </c>
      <c r="AG170" s="12">
        <v>0.83408000000000004</v>
      </c>
      <c r="AI170" s="730">
        <v>0.98340000000000205</v>
      </c>
      <c r="AJ170" s="731">
        <v>12.62</v>
      </c>
    </row>
    <row r="171" spans="1:36" ht="16.5" customHeight="1" x14ac:dyDescent="0.2">
      <c r="AA171" s="20">
        <v>167</v>
      </c>
      <c r="AB171" s="21">
        <v>83.5</v>
      </c>
      <c r="AC171" s="108">
        <v>19.100000000000001</v>
      </c>
      <c r="AD171" s="109"/>
      <c r="AE171" s="14">
        <v>0.85370000000000001</v>
      </c>
      <c r="AF171" s="12">
        <v>0.83621500000000004</v>
      </c>
      <c r="AG171" s="12">
        <v>0.83282</v>
      </c>
      <c r="AI171" s="730">
        <v>0.98330000000000195</v>
      </c>
      <c r="AJ171" s="731">
        <v>12.71</v>
      </c>
    </row>
    <row r="172" spans="1:36" ht="16.5" customHeight="1" x14ac:dyDescent="0.2">
      <c r="AA172" s="20">
        <v>168</v>
      </c>
      <c r="AB172" s="21">
        <v>84</v>
      </c>
      <c r="AC172" s="22">
        <v>18.55</v>
      </c>
      <c r="AD172" s="23"/>
      <c r="AE172" s="14">
        <v>0.85219999999999996</v>
      </c>
      <c r="AF172" s="12">
        <v>0.83496000000000004</v>
      </c>
      <c r="AG172" s="12">
        <v>0.83155999999999997</v>
      </c>
      <c r="AI172" s="730">
        <v>0.98320000000000196</v>
      </c>
      <c r="AJ172" s="731">
        <v>12.8</v>
      </c>
    </row>
    <row r="173" spans="1:36" ht="16.5" customHeight="1" x14ac:dyDescent="0.2">
      <c r="AA173" s="20">
        <v>169</v>
      </c>
      <c r="AB173" s="21">
        <v>84.5</v>
      </c>
      <c r="AC173" s="22">
        <v>18.010000000000002</v>
      </c>
      <c r="AD173" s="23"/>
      <c r="AE173" s="14">
        <v>0.85029999999999994</v>
      </c>
      <c r="AF173" s="12">
        <v>0.83369000000000004</v>
      </c>
      <c r="AG173" s="12">
        <v>0.83028999999999997</v>
      </c>
      <c r="AI173" s="730">
        <v>0.98310000000000197</v>
      </c>
      <c r="AJ173" s="731">
        <v>12.88</v>
      </c>
    </row>
    <row r="174" spans="1:36" ht="16.5" customHeight="1" x14ac:dyDescent="0.2">
      <c r="AA174" s="20">
        <v>170</v>
      </c>
      <c r="AB174" s="21">
        <v>85</v>
      </c>
      <c r="AC174" s="22">
        <v>17.46</v>
      </c>
      <c r="AD174" s="23"/>
      <c r="AE174" s="14">
        <v>0.84930000000000005</v>
      </c>
      <c r="AF174" s="12">
        <v>0.83242000000000005</v>
      </c>
      <c r="AG174" s="12">
        <v>0.82901999999999998</v>
      </c>
      <c r="AI174" s="730">
        <v>0.98300000000000198</v>
      </c>
      <c r="AJ174" s="731">
        <v>12.97</v>
      </c>
    </row>
    <row r="175" spans="1:36" ht="16.5" customHeight="1" x14ac:dyDescent="0.2">
      <c r="AA175" s="20">
        <v>171</v>
      </c>
      <c r="AB175" s="21">
        <v>85.5</v>
      </c>
      <c r="AC175" s="22">
        <v>16.920000000000002</v>
      </c>
      <c r="AD175" s="23"/>
      <c r="AE175" s="14">
        <v>0.8478</v>
      </c>
      <c r="AF175" s="12">
        <v>0.83114500000000002</v>
      </c>
      <c r="AG175" s="12">
        <v>0.82774000000000003</v>
      </c>
      <c r="AI175" s="730">
        <v>0.98290000000000199</v>
      </c>
      <c r="AJ175" s="731">
        <v>13.06</v>
      </c>
    </row>
    <row r="176" spans="1:36" ht="16.5" customHeight="1" x14ac:dyDescent="0.2">
      <c r="AA176" s="20">
        <v>172</v>
      </c>
      <c r="AB176" s="21">
        <v>86</v>
      </c>
      <c r="AC176" s="22">
        <v>16.37</v>
      </c>
      <c r="AD176" s="23"/>
      <c r="AE176" s="14">
        <v>0.84630000000000005</v>
      </c>
      <c r="AF176" s="12">
        <v>0.82987</v>
      </c>
      <c r="AG176" s="12">
        <v>0.82645999999999997</v>
      </c>
      <c r="AI176" s="730">
        <v>0.98280000000000201</v>
      </c>
      <c r="AJ176" s="731">
        <v>13.14</v>
      </c>
    </row>
    <row r="177" spans="27:36" ht="16.5" customHeight="1" x14ac:dyDescent="0.2">
      <c r="AA177" s="20">
        <v>173</v>
      </c>
      <c r="AB177" s="21">
        <v>86.5</v>
      </c>
      <c r="AC177" s="22">
        <v>15.82</v>
      </c>
      <c r="AD177" s="23"/>
      <c r="AE177" s="14">
        <v>0.84470000000000001</v>
      </c>
      <c r="AF177" s="12">
        <v>0.82857999999999998</v>
      </c>
      <c r="AG177" s="12">
        <v>0.82517499999999999</v>
      </c>
      <c r="AI177" s="730">
        <v>0.98270000000000202</v>
      </c>
      <c r="AJ177" s="731">
        <v>13.23</v>
      </c>
    </row>
    <row r="178" spans="27:36" ht="16.5" customHeight="1" x14ac:dyDescent="0.2">
      <c r="AA178" s="20">
        <v>174</v>
      </c>
      <c r="AB178" s="21">
        <v>87</v>
      </c>
      <c r="AC178" s="22">
        <v>15.27</v>
      </c>
      <c r="AD178" s="23"/>
      <c r="AE178" s="14">
        <v>0.84319999999999995</v>
      </c>
      <c r="AF178" s="12">
        <v>0.82728999999999997</v>
      </c>
      <c r="AG178" s="12">
        <v>0.82389000000000001</v>
      </c>
      <c r="AI178" s="730">
        <v>0.98260000000000203</v>
      </c>
      <c r="AJ178" s="731">
        <v>13.32</v>
      </c>
    </row>
    <row r="179" spans="27:36" ht="16.5" customHeight="1" x14ac:dyDescent="0.2">
      <c r="AA179" s="20">
        <v>175</v>
      </c>
      <c r="AB179" s="21">
        <v>87.5</v>
      </c>
      <c r="AC179" s="22">
        <v>14.72</v>
      </c>
      <c r="AD179" s="23"/>
      <c r="AE179" s="14">
        <v>0.84160000000000001</v>
      </c>
      <c r="AF179" s="12">
        <v>0.82599</v>
      </c>
      <c r="AG179" s="12">
        <v>0.82258500000000001</v>
      </c>
      <c r="AI179" s="730">
        <v>0.98250000000000204</v>
      </c>
      <c r="AJ179" s="731">
        <v>13.41</v>
      </c>
    </row>
    <row r="180" spans="27:36" ht="16.5" customHeight="1" x14ac:dyDescent="0.2">
      <c r="AA180" s="20">
        <v>176</v>
      </c>
      <c r="AB180" s="21">
        <v>88</v>
      </c>
      <c r="AC180" s="22">
        <v>14.16</v>
      </c>
      <c r="AD180" s="23"/>
      <c r="AE180" s="14">
        <v>0.84009999999999996</v>
      </c>
      <c r="AF180" s="12">
        <v>0.82469000000000003</v>
      </c>
      <c r="AG180" s="12">
        <v>0.82128000000000001</v>
      </c>
      <c r="AI180" s="730">
        <v>0.98240000000000205</v>
      </c>
      <c r="AJ180" s="731">
        <v>13.49</v>
      </c>
    </row>
    <row r="181" spans="27:36" ht="16.5" customHeight="1" x14ac:dyDescent="0.2">
      <c r="AA181" s="20">
        <v>177</v>
      </c>
      <c r="AB181" s="21">
        <v>88.5</v>
      </c>
      <c r="AC181" s="22">
        <v>13.61</v>
      </c>
      <c r="AD181" s="23"/>
      <c r="AE181" s="14">
        <v>0.83850000000000002</v>
      </c>
      <c r="AF181" s="12">
        <v>0.82338</v>
      </c>
      <c r="AG181" s="12">
        <v>0.81996500000000005</v>
      </c>
      <c r="AI181" s="730">
        <v>0.98230000000000195</v>
      </c>
      <c r="AJ181" s="731">
        <v>13.58</v>
      </c>
    </row>
    <row r="182" spans="27:36" ht="16.5" customHeight="1" x14ac:dyDescent="0.2">
      <c r="AA182" s="20">
        <v>178</v>
      </c>
      <c r="AB182" s="21">
        <v>89</v>
      </c>
      <c r="AC182" s="22">
        <v>13.05</v>
      </c>
      <c r="AD182" s="23"/>
      <c r="AE182" s="14">
        <v>0.83689999999999998</v>
      </c>
      <c r="AF182" s="12">
        <v>0.82206999999999997</v>
      </c>
      <c r="AG182" s="12">
        <v>0.81864999999999999</v>
      </c>
      <c r="AI182" s="730">
        <v>0.98220000000000196</v>
      </c>
      <c r="AJ182" s="731">
        <v>13.67</v>
      </c>
    </row>
    <row r="183" spans="27:36" ht="16.5" customHeight="1" x14ac:dyDescent="0.2">
      <c r="AA183" s="20">
        <v>179</v>
      </c>
      <c r="AB183" s="21">
        <v>89.5</v>
      </c>
      <c r="AC183" s="22">
        <v>12.49</v>
      </c>
      <c r="AD183" s="23"/>
      <c r="AE183" s="14">
        <v>0.83530000000000004</v>
      </c>
      <c r="AF183" s="12">
        <v>0.82074499999999995</v>
      </c>
      <c r="AG183" s="12">
        <v>0.81732499999999997</v>
      </c>
      <c r="AI183" s="730">
        <v>0.98210000000000197</v>
      </c>
      <c r="AJ183" s="731">
        <v>13.76</v>
      </c>
    </row>
    <row r="184" spans="27:36" ht="16.5" customHeight="1" x14ac:dyDescent="0.2">
      <c r="AA184" s="20">
        <v>180</v>
      </c>
      <c r="AB184" s="21">
        <v>90</v>
      </c>
      <c r="AC184" s="22">
        <v>11.98</v>
      </c>
      <c r="AD184" s="23"/>
      <c r="AE184" s="14">
        <v>0.83360000000000001</v>
      </c>
      <c r="AF184" s="12">
        <v>0.81942000000000004</v>
      </c>
      <c r="AG184" s="12">
        <v>0.81599999999999995</v>
      </c>
      <c r="AI184" s="730">
        <v>0.98200000000000198</v>
      </c>
      <c r="AJ184" s="731">
        <v>13.85</v>
      </c>
    </row>
    <row r="185" spans="27:36" ht="16.5" customHeight="1" x14ac:dyDescent="0.2">
      <c r="AA185" s="20">
        <v>181</v>
      </c>
      <c r="AB185" s="21">
        <v>90.5</v>
      </c>
      <c r="AC185" s="22">
        <v>11.37</v>
      </c>
      <c r="AD185" s="23"/>
      <c r="AE185" s="14">
        <v>0.83199999999999996</v>
      </c>
      <c r="AF185" s="12">
        <v>0.81808000000000003</v>
      </c>
      <c r="AG185" s="12">
        <v>0.81465500000000002</v>
      </c>
      <c r="AI185" s="730">
        <v>0.98190000000000199</v>
      </c>
      <c r="AJ185" s="731">
        <v>13.94</v>
      </c>
    </row>
    <row r="186" spans="27:36" ht="16.5" customHeight="1" x14ac:dyDescent="0.2">
      <c r="AA186" s="20">
        <v>182</v>
      </c>
      <c r="AB186" s="21">
        <v>91</v>
      </c>
      <c r="AC186" s="108">
        <v>10.8</v>
      </c>
      <c r="AD186" s="109"/>
      <c r="AE186" s="14">
        <v>0.83030000000000004</v>
      </c>
      <c r="AF186" s="12">
        <v>0.81674000000000002</v>
      </c>
      <c r="AG186" s="12">
        <v>0.81330999999999998</v>
      </c>
      <c r="AI186" s="730">
        <v>0.981800000000002</v>
      </c>
      <c r="AJ186" s="731">
        <v>14.02</v>
      </c>
    </row>
    <row r="187" spans="27:36" ht="16.5" customHeight="1" x14ac:dyDescent="0.2">
      <c r="AA187" s="20">
        <v>183</v>
      </c>
      <c r="AB187" s="21">
        <v>91.5</v>
      </c>
      <c r="AC187" s="22">
        <v>10.24</v>
      </c>
      <c r="AD187" s="23"/>
      <c r="AE187" s="14">
        <v>0.8286</v>
      </c>
      <c r="AF187" s="12">
        <v>0.81537499999999996</v>
      </c>
      <c r="AG187" s="12">
        <v>0.81195499999999998</v>
      </c>
      <c r="AI187" s="730">
        <v>0.98170000000000202</v>
      </c>
      <c r="AJ187" s="731">
        <v>14.11</v>
      </c>
    </row>
    <row r="188" spans="27:36" ht="16.5" customHeight="1" x14ac:dyDescent="0.2">
      <c r="AA188" s="20">
        <v>184</v>
      </c>
      <c r="AB188" s="21">
        <v>92</v>
      </c>
      <c r="AC188" s="22">
        <v>9.67</v>
      </c>
      <c r="AD188" s="23"/>
      <c r="AE188" s="14">
        <v>0.82689999999999997</v>
      </c>
      <c r="AF188" s="12">
        <v>0.81401000000000001</v>
      </c>
      <c r="AG188" s="12">
        <v>0.81059999999999999</v>
      </c>
      <c r="AI188" s="730">
        <v>0.98160000000000203</v>
      </c>
      <c r="AJ188" s="731">
        <v>14.2</v>
      </c>
    </row>
    <row r="189" spans="27:36" ht="16.5" customHeight="1" x14ac:dyDescent="0.2">
      <c r="AA189" s="20">
        <v>185</v>
      </c>
      <c r="AB189" s="21">
        <v>92.5</v>
      </c>
      <c r="AC189" s="22">
        <v>9.09</v>
      </c>
      <c r="AD189" s="23"/>
      <c r="AE189" s="14">
        <v>0.82509999999999994</v>
      </c>
      <c r="AF189" s="12">
        <v>0.81264000000000003</v>
      </c>
      <c r="AG189" s="12">
        <v>0.80922499999999997</v>
      </c>
      <c r="AI189" s="730">
        <v>0.98150000000000204</v>
      </c>
      <c r="AJ189" s="731">
        <v>14.29</v>
      </c>
    </row>
    <row r="190" spans="27:36" ht="16.5" customHeight="1" x14ac:dyDescent="0.2">
      <c r="AA190" s="20">
        <v>186</v>
      </c>
      <c r="AB190" s="21">
        <v>93</v>
      </c>
      <c r="AC190" s="22">
        <v>8.52</v>
      </c>
      <c r="AD190" s="23"/>
      <c r="AE190" s="14">
        <v>0.82330000000000003</v>
      </c>
      <c r="AF190" s="12">
        <v>0.81127000000000005</v>
      </c>
      <c r="AG190" s="12">
        <v>0.80784999999999996</v>
      </c>
      <c r="AI190" s="730">
        <v>0.98140000000000205</v>
      </c>
      <c r="AJ190" s="731">
        <v>14.38</v>
      </c>
    </row>
    <row r="191" spans="27:36" ht="16.5" customHeight="1" x14ac:dyDescent="0.2">
      <c r="AA191" s="20">
        <v>187</v>
      </c>
      <c r="AB191" s="21">
        <v>93.5</v>
      </c>
      <c r="AC191" s="22">
        <v>7.94</v>
      </c>
      <c r="AD191" s="23"/>
      <c r="AE191" s="14">
        <v>0.82150000000000001</v>
      </c>
      <c r="AF191" s="12">
        <v>0.80987500000000001</v>
      </c>
      <c r="AG191" s="12">
        <v>0.80645999999999995</v>
      </c>
      <c r="AI191" s="730">
        <v>0.98130000000000295</v>
      </c>
      <c r="AJ191" s="731">
        <v>14.47</v>
      </c>
    </row>
    <row r="192" spans="27:36" ht="16.5" customHeight="1" x14ac:dyDescent="0.2">
      <c r="AA192" s="20">
        <v>188</v>
      </c>
      <c r="AB192" s="21">
        <v>94</v>
      </c>
      <c r="AC192" s="22">
        <v>7.36</v>
      </c>
      <c r="AD192" s="23"/>
      <c r="AE192" s="14">
        <v>0.8196</v>
      </c>
      <c r="AF192" s="12">
        <v>0.80847999999999998</v>
      </c>
      <c r="AG192" s="12">
        <v>0.80506999999999995</v>
      </c>
      <c r="AI192" s="730">
        <v>0.98120000000000296</v>
      </c>
      <c r="AJ192" s="731">
        <v>14.56</v>
      </c>
    </row>
    <row r="193" spans="27:36" ht="16.5" customHeight="1" x14ac:dyDescent="0.2">
      <c r="AA193" s="20">
        <v>189</v>
      </c>
      <c r="AB193" s="21">
        <v>94.5</v>
      </c>
      <c r="AC193" s="22">
        <v>6.77</v>
      </c>
      <c r="AD193" s="23"/>
      <c r="AE193" s="14">
        <v>0.81779999999999997</v>
      </c>
      <c r="AF193" s="12">
        <v>0.80707499999999999</v>
      </c>
      <c r="AG193" s="12">
        <v>0.80366000000000004</v>
      </c>
      <c r="AI193" s="730">
        <v>0.98110000000000297</v>
      </c>
      <c r="AJ193" s="731">
        <v>14.65</v>
      </c>
    </row>
    <row r="194" spans="27:36" ht="16.5" customHeight="1" x14ac:dyDescent="0.2">
      <c r="AA194" s="20">
        <v>190</v>
      </c>
      <c r="AB194" s="21">
        <v>95</v>
      </c>
      <c r="AC194" s="22">
        <v>6.18</v>
      </c>
      <c r="AD194" s="23"/>
      <c r="AE194" s="14">
        <v>0.81579999999999997</v>
      </c>
      <c r="AF194" s="12">
        <v>0.80567</v>
      </c>
      <c r="AG194" s="12">
        <v>0.80225000000000002</v>
      </c>
      <c r="AI194" s="730">
        <v>0.98100000000000298</v>
      </c>
      <c r="AJ194" s="731">
        <v>14.74</v>
      </c>
    </row>
    <row r="195" spans="27:36" ht="16.5" customHeight="1" x14ac:dyDescent="0.2">
      <c r="AA195" s="20">
        <v>191</v>
      </c>
      <c r="AB195" s="21">
        <v>95.5</v>
      </c>
      <c r="AC195" s="22">
        <v>5.59</v>
      </c>
      <c r="AD195" s="23"/>
      <c r="AE195" s="14">
        <v>0.81389999999999996</v>
      </c>
      <c r="AF195" s="12">
        <v>0.80423500000000003</v>
      </c>
      <c r="AG195" s="12">
        <v>0.80081999999999998</v>
      </c>
      <c r="AI195" s="730">
        <v>0.98090000000000299</v>
      </c>
      <c r="AJ195" s="731">
        <v>14.83</v>
      </c>
    </row>
    <row r="196" spans="27:36" ht="16.5" customHeight="1" x14ac:dyDescent="0.2">
      <c r="AA196" s="20">
        <v>192</v>
      </c>
      <c r="AB196" s="21">
        <v>96</v>
      </c>
      <c r="AC196" s="22">
        <v>4.99</v>
      </c>
      <c r="AD196" s="23"/>
      <c r="AE196" s="14">
        <v>0.81179999999999997</v>
      </c>
      <c r="AF196" s="12">
        <v>0.80279999999999996</v>
      </c>
      <c r="AG196" s="12">
        <v>0.79939000000000004</v>
      </c>
      <c r="AI196" s="730">
        <v>0.980800000000003</v>
      </c>
      <c r="AJ196" s="731">
        <v>14.92</v>
      </c>
    </row>
    <row r="197" spans="27:36" ht="16.5" customHeight="1" x14ac:dyDescent="0.2">
      <c r="AA197" s="20">
        <v>193</v>
      </c>
      <c r="AB197" s="21">
        <v>96.5</v>
      </c>
      <c r="AC197" s="22">
        <v>4.3899999999999997</v>
      </c>
      <c r="AD197" s="23"/>
      <c r="AE197" s="14">
        <v>0.80979999999999996</v>
      </c>
      <c r="AF197" s="12">
        <v>0.80134000000000005</v>
      </c>
      <c r="AG197" s="12">
        <v>0.79793499999999995</v>
      </c>
      <c r="AI197" s="730">
        <v>0.98070000000000301</v>
      </c>
      <c r="AJ197" s="731">
        <v>15.01</v>
      </c>
    </row>
    <row r="198" spans="27:36" ht="16.5" customHeight="1" x14ac:dyDescent="0.2">
      <c r="AA198" s="20">
        <v>194</v>
      </c>
      <c r="AB198" s="21">
        <v>97</v>
      </c>
      <c r="AC198" s="22">
        <v>3.78</v>
      </c>
      <c r="AD198" s="23"/>
      <c r="AE198" s="14">
        <v>0.80769999999999997</v>
      </c>
      <c r="AF198" s="12">
        <v>0.79988000000000004</v>
      </c>
      <c r="AG198" s="12">
        <v>0.79647999999999997</v>
      </c>
      <c r="AI198" s="730">
        <v>0.98060000000000302</v>
      </c>
      <c r="AJ198" s="731">
        <v>15.1</v>
      </c>
    </row>
    <row r="199" spans="27:36" ht="16.5" customHeight="1" x14ac:dyDescent="0.2">
      <c r="AA199" s="20">
        <v>195</v>
      </c>
      <c r="AB199" s="21">
        <v>97.5</v>
      </c>
      <c r="AC199" s="22">
        <v>3.17</v>
      </c>
      <c r="AD199" s="23"/>
      <c r="AE199" s="14">
        <v>0.80559999999999998</v>
      </c>
      <c r="AF199" s="12">
        <v>0.79837999999999998</v>
      </c>
      <c r="AG199" s="12">
        <v>0.79498500000000005</v>
      </c>
      <c r="AI199" s="730">
        <v>0.98050000000000304</v>
      </c>
      <c r="AJ199" s="731">
        <v>15.19</v>
      </c>
    </row>
    <row r="200" spans="27:36" ht="16.5" customHeight="1" x14ac:dyDescent="0.2">
      <c r="AA200" s="20">
        <v>196</v>
      </c>
      <c r="AB200" s="21">
        <v>98</v>
      </c>
      <c r="AC200" s="22">
        <v>2.5499999999999998</v>
      </c>
      <c r="AD200" s="23"/>
      <c r="AE200" s="14">
        <v>0.80330000000000001</v>
      </c>
      <c r="AF200" s="12">
        <v>0.79688000000000003</v>
      </c>
      <c r="AG200" s="12">
        <v>0.79349000000000003</v>
      </c>
      <c r="AI200" s="730">
        <v>0.98040000000000305</v>
      </c>
      <c r="AJ200" s="731">
        <v>15.28</v>
      </c>
    </row>
    <row r="201" spans="27:36" ht="16.5" customHeight="1" x14ac:dyDescent="0.2">
      <c r="AA201" s="20">
        <v>197</v>
      </c>
      <c r="AB201" s="21">
        <v>98.5</v>
      </c>
      <c r="AC201" s="22">
        <v>1.93</v>
      </c>
      <c r="AD201" s="23"/>
      <c r="AE201" s="14">
        <v>0.80100000000000005</v>
      </c>
      <c r="AF201" s="12">
        <v>0.79535500000000003</v>
      </c>
      <c r="AG201" s="12">
        <v>0.79196999999999995</v>
      </c>
      <c r="AI201" s="730">
        <v>0.98030000000000295</v>
      </c>
      <c r="AJ201" s="731">
        <v>15.37</v>
      </c>
    </row>
    <row r="202" spans="27:36" ht="16.5" customHeight="1" x14ac:dyDescent="0.2">
      <c r="AA202" s="20">
        <v>198</v>
      </c>
      <c r="AB202" s="21">
        <v>99</v>
      </c>
      <c r="AC202" s="22">
        <v>1.29</v>
      </c>
      <c r="AD202" s="23"/>
      <c r="AE202" s="14">
        <v>0.79869999999999997</v>
      </c>
      <c r="AF202" s="12">
        <v>0.79383000000000004</v>
      </c>
      <c r="AG202" s="12">
        <v>0.79044999999999999</v>
      </c>
      <c r="AI202" s="730">
        <v>0.98020000000000296</v>
      </c>
      <c r="AJ202" s="731">
        <v>15.46</v>
      </c>
    </row>
    <row r="203" spans="27:36" ht="16.5" customHeight="1" x14ac:dyDescent="0.2">
      <c r="AA203" s="20">
        <v>199</v>
      </c>
      <c r="AB203" s="21">
        <v>99.5</v>
      </c>
      <c r="AC203" s="22">
        <v>0.65</v>
      </c>
      <c r="AD203" s="23"/>
      <c r="AE203" s="14">
        <v>0.79620000000000002</v>
      </c>
      <c r="AF203" s="12">
        <v>0.79228500000000002</v>
      </c>
      <c r="AG203" s="12">
        <v>0.78890499999999997</v>
      </c>
      <c r="AI203" s="730">
        <v>0.98010000000000297</v>
      </c>
      <c r="AJ203" s="731">
        <v>15.54</v>
      </c>
    </row>
    <row r="204" spans="27:36" ht="16.5" customHeight="1" thickBot="1" x14ac:dyDescent="0.25">
      <c r="AA204" s="387">
        <v>200</v>
      </c>
      <c r="AB204" s="388">
        <v>100</v>
      </c>
      <c r="AC204" s="389">
        <v>0</v>
      </c>
      <c r="AD204" s="372"/>
      <c r="AE204" s="390">
        <v>0.79369999999999996</v>
      </c>
      <c r="AF204" s="12">
        <v>0.79074</v>
      </c>
      <c r="AG204" s="12">
        <v>0.78735999999999995</v>
      </c>
      <c r="AI204" s="730">
        <v>0.98000000000000298</v>
      </c>
      <c r="AJ204" s="731">
        <v>15.64</v>
      </c>
    </row>
    <row r="205" spans="27:36" ht="16.5" customHeight="1" x14ac:dyDescent="0.2">
      <c r="AI205" s="730">
        <v>0.97990000000000299</v>
      </c>
      <c r="AJ205" s="731">
        <v>15.73</v>
      </c>
    </row>
    <row r="206" spans="27:36" ht="16.5" customHeight="1" x14ac:dyDescent="0.2">
      <c r="AI206" s="730">
        <v>0.979800000000003</v>
      </c>
      <c r="AJ206" s="731">
        <v>15.82</v>
      </c>
    </row>
    <row r="207" spans="27:36" ht="16.5" customHeight="1" x14ac:dyDescent="0.2">
      <c r="AI207" s="730">
        <v>0.97970000000000301</v>
      </c>
      <c r="AJ207" s="731">
        <v>15.91</v>
      </c>
    </row>
    <row r="208" spans="27:36" ht="16.5" customHeight="1" x14ac:dyDescent="0.2">
      <c r="AI208" s="730">
        <v>0.97960000000000302</v>
      </c>
      <c r="AJ208" s="731">
        <v>16</v>
      </c>
    </row>
    <row r="209" spans="35:36" ht="16.5" customHeight="1" x14ac:dyDescent="0.2">
      <c r="AI209" s="730">
        <v>0.97950000000000303</v>
      </c>
      <c r="AJ209" s="731">
        <v>16.09</v>
      </c>
    </row>
    <row r="210" spans="35:36" ht="16.5" customHeight="1" x14ac:dyDescent="0.2">
      <c r="AI210" s="730">
        <v>0.97940000000000305</v>
      </c>
      <c r="AJ210" s="731">
        <v>16.18</v>
      </c>
    </row>
    <row r="211" spans="35:36" ht="15" x14ac:dyDescent="0.2">
      <c r="AI211" s="730">
        <v>0.97930000000000295</v>
      </c>
      <c r="AJ211" s="731">
        <v>16.27</v>
      </c>
    </row>
    <row r="212" spans="35:36" ht="15" x14ac:dyDescent="0.2">
      <c r="AI212" s="730">
        <v>0.97920000000000296</v>
      </c>
      <c r="AJ212" s="731">
        <v>16.36</v>
      </c>
    </row>
    <row r="213" spans="35:36" ht="15" x14ac:dyDescent="0.2">
      <c r="AI213" s="730">
        <v>0.97910000000000297</v>
      </c>
      <c r="AJ213" s="731">
        <v>16.45</v>
      </c>
    </row>
    <row r="214" spans="35:36" ht="15" x14ac:dyDescent="0.2">
      <c r="AI214" s="730">
        <v>0.97900000000000298</v>
      </c>
      <c r="AJ214" s="731">
        <v>16.54</v>
      </c>
    </row>
    <row r="215" spans="35:36" ht="15" x14ac:dyDescent="0.2">
      <c r="AI215" s="730">
        <v>0.97890000000000299</v>
      </c>
      <c r="AJ215" s="731">
        <v>16.64</v>
      </c>
    </row>
    <row r="216" spans="35:36" ht="15" x14ac:dyDescent="0.2">
      <c r="AI216" s="730">
        <v>0.978800000000003</v>
      </c>
      <c r="AJ216" s="731">
        <v>16.73</v>
      </c>
    </row>
    <row r="217" spans="35:36" ht="15" x14ac:dyDescent="0.2">
      <c r="AI217" s="730">
        <v>0.97870000000000301</v>
      </c>
      <c r="AJ217" s="731">
        <v>16.82</v>
      </c>
    </row>
    <row r="218" spans="35:36" ht="15" x14ac:dyDescent="0.2">
      <c r="AI218" s="730">
        <v>0.97860000000000302</v>
      </c>
      <c r="AJ218" s="731">
        <v>16.91</v>
      </c>
    </row>
    <row r="219" spans="35:36" ht="15" x14ac:dyDescent="0.2">
      <c r="AI219" s="730">
        <v>0.97850000000000303</v>
      </c>
      <c r="AJ219" s="731">
        <v>17</v>
      </c>
    </row>
    <row r="220" spans="35:36" ht="15" x14ac:dyDescent="0.2">
      <c r="AI220" s="730">
        <v>0.97840000000000305</v>
      </c>
      <c r="AJ220" s="731">
        <v>17.100000000000001</v>
      </c>
    </row>
    <row r="221" spans="35:36" ht="15" x14ac:dyDescent="0.2">
      <c r="AI221" s="730">
        <v>0.97830000000000295</v>
      </c>
      <c r="AJ221" s="731">
        <v>17.190000000000001</v>
      </c>
    </row>
    <row r="222" spans="35:36" ht="15" x14ac:dyDescent="0.2">
      <c r="AI222" s="730">
        <v>0.97820000000000296</v>
      </c>
      <c r="AJ222" s="731">
        <v>17.28</v>
      </c>
    </row>
    <row r="223" spans="35:36" ht="15" x14ac:dyDescent="0.2">
      <c r="AI223" s="730">
        <v>0.97810000000000297</v>
      </c>
      <c r="AJ223" s="731">
        <v>17.38</v>
      </c>
    </row>
    <row r="224" spans="35:36" ht="15" x14ac:dyDescent="0.2">
      <c r="AI224" s="730">
        <v>0.97800000000000298</v>
      </c>
      <c r="AJ224" s="731">
        <v>17.47</v>
      </c>
    </row>
    <row r="225" spans="35:36" ht="15" x14ac:dyDescent="0.2">
      <c r="AI225" s="730">
        <v>0.97790000000000299</v>
      </c>
      <c r="AJ225" s="731">
        <v>17.559999999999999</v>
      </c>
    </row>
    <row r="226" spans="35:36" ht="15" x14ac:dyDescent="0.2">
      <c r="AI226" s="730">
        <v>0.977800000000003</v>
      </c>
      <c r="AJ226" s="731">
        <v>17.66</v>
      </c>
    </row>
    <row r="227" spans="35:36" ht="15" x14ac:dyDescent="0.2">
      <c r="AI227" s="730">
        <v>0.97770000000000301</v>
      </c>
      <c r="AJ227" s="731">
        <v>17.75</v>
      </c>
    </row>
    <row r="228" spans="35:36" ht="15" x14ac:dyDescent="0.2">
      <c r="AI228" s="730">
        <v>0.97760000000000302</v>
      </c>
      <c r="AJ228" s="731">
        <v>17.84</v>
      </c>
    </row>
    <row r="229" spans="35:36" ht="15" x14ac:dyDescent="0.2">
      <c r="AI229" s="730">
        <v>0.97750000000000303</v>
      </c>
      <c r="AJ229" s="731">
        <v>17.940000000000001</v>
      </c>
    </row>
    <row r="230" spans="35:36" ht="15" x14ac:dyDescent="0.2">
      <c r="AI230" s="730">
        <v>0.97740000000000304</v>
      </c>
      <c r="AJ230" s="731">
        <v>18.03</v>
      </c>
    </row>
    <row r="231" spans="35:36" ht="15" x14ac:dyDescent="0.2">
      <c r="AI231" s="730">
        <v>0.97730000000000306</v>
      </c>
      <c r="AJ231" s="731">
        <v>18.12</v>
      </c>
    </row>
    <row r="232" spans="35:36" ht="15" x14ac:dyDescent="0.2">
      <c r="AI232" s="730">
        <v>0.97720000000000296</v>
      </c>
      <c r="AJ232" s="731">
        <v>18.22</v>
      </c>
    </row>
    <row r="233" spans="35:36" ht="15" x14ac:dyDescent="0.2">
      <c r="AI233" s="730">
        <v>0.97710000000000297</v>
      </c>
      <c r="AJ233" s="731">
        <v>18.309999999999999</v>
      </c>
    </row>
    <row r="234" spans="35:36" ht="15" x14ac:dyDescent="0.2">
      <c r="AI234" s="730">
        <v>0.97700000000000298</v>
      </c>
      <c r="AJ234" s="731">
        <v>18.41</v>
      </c>
    </row>
    <row r="235" spans="35:36" ht="15" x14ac:dyDescent="0.2">
      <c r="AI235" s="730">
        <v>0.97690000000000299</v>
      </c>
      <c r="AJ235" s="731">
        <v>18.5</v>
      </c>
    </row>
    <row r="236" spans="35:36" ht="15" x14ac:dyDescent="0.2">
      <c r="AI236" s="730">
        <v>0.976800000000003</v>
      </c>
      <c r="AJ236" s="731">
        <v>18.600000000000001</v>
      </c>
    </row>
    <row r="237" spans="35:36" ht="15" x14ac:dyDescent="0.2">
      <c r="AI237" s="730">
        <v>0.97670000000000301</v>
      </c>
      <c r="AJ237" s="731">
        <v>18.690000000000001</v>
      </c>
    </row>
    <row r="238" spans="35:36" ht="15" x14ac:dyDescent="0.2">
      <c r="AI238" s="730">
        <v>0.97660000000000302</v>
      </c>
      <c r="AJ238" s="731">
        <v>18.79</v>
      </c>
    </row>
    <row r="239" spans="35:36" ht="15" x14ac:dyDescent="0.2">
      <c r="AI239" s="730">
        <v>0.97650000000000303</v>
      </c>
      <c r="AJ239" s="731">
        <v>18.88</v>
      </c>
    </row>
    <row r="240" spans="35:36" ht="15" x14ac:dyDescent="0.2">
      <c r="AI240" s="730">
        <v>0.97640000000000304</v>
      </c>
      <c r="AJ240" s="731">
        <v>18.98</v>
      </c>
    </row>
    <row r="241" spans="35:36" ht="15" x14ac:dyDescent="0.2">
      <c r="AI241" s="730">
        <v>0.97630000000000305</v>
      </c>
      <c r="AJ241" s="731">
        <v>19.07</v>
      </c>
    </row>
    <row r="242" spans="35:36" ht="15" x14ac:dyDescent="0.2">
      <c r="AI242" s="730">
        <v>0.97620000000000295</v>
      </c>
      <c r="AJ242" s="731">
        <v>19.170000000000002</v>
      </c>
    </row>
    <row r="243" spans="35:36" ht="15" x14ac:dyDescent="0.2">
      <c r="AI243" s="730">
        <v>0.97610000000000297</v>
      </c>
      <c r="AJ243" s="731">
        <v>19.260000000000002</v>
      </c>
    </row>
    <row r="244" spans="35:36" ht="15" x14ac:dyDescent="0.2">
      <c r="AI244" s="730">
        <v>0.97600000000000298</v>
      </c>
      <c r="AJ244" s="731">
        <v>19.36</v>
      </c>
    </row>
    <row r="245" spans="35:36" ht="15" x14ac:dyDescent="0.2">
      <c r="AI245" s="730">
        <v>0.97590000000000299</v>
      </c>
      <c r="AJ245" s="731">
        <v>19.45</v>
      </c>
    </row>
    <row r="246" spans="35:36" ht="15" x14ac:dyDescent="0.2">
      <c r="AI246" s="730">
        <v>0.975800000000003</v>
      </c>
      <c r="AJ246" s="731">
        <v>19.55</v>
      </c>
    </row>
    <row r="247" spans="35:36" ht="15" x14ac:dyDescent="0.2">
      <c r="AI247" s="730">
        <v>0.97570000000000301</v>
      </c>
      <c r="AJ247" s="731">
        <v>19.64</v>
      </c>
    </row>
    <row r="248" spans="35:36" ht="15" x14ac:dyDescent="0.2">
      <c r="AI248" s="730">
        <v>0.97560000000000302</v>
      </c>
      <c r="AJ248" s="731">
        <v>19.739999999999998</v>
      </c>
    </row>
    <row r="249" spans="35:36" ht="15" x14ac:dyDescent="0.2">
      <c r="AI249" s="730">
        <v>0.97550000000000303</v>
      </c>
      <c r="AJ249" s="731">
        <v>19.829999999999998</v>
      </c>
    </row>
    <row r="250" spans="35:36" ht="15" x14ac:dyDescent="0.2">
      <c r="AI250" s="730">
        <v>0.97540000000000304</v>
      </c>
      <c r="AJ250" s="731">
        <v>19.93</v>
      </c>
    </row>
    <row r="251" spans="35:36" ht="15" x14ac:dyDescent="0.2">
      <c r="AI251" s="730">
        <v>0.97530000000000305</v>
      </c>
      <c r="AJ251" s="731">
        <v>20.02</v>
      </c>
    </row>
    <row r="252" spans="35:36" ht="15" x14ac:dyDescent="0.2">
      <c r="AI252" s="730">
        <v>0.97520000000000295</v>
      </c>
      <c r="AJ252" s="731">
        <v>20.12</v>
      </c>
    </row>
    <row r="253" spans="35:36" ht="15" x14ac:dyDescent="0.2">
      <c r="AI253" s="730">
        <v>0.97510000000000296</v>
      </c>
      <c r="AJ253" s="731">
        <v>20.21</v>
      </c>
    </row>
    <row r="254" spans="35:36" ht="15" x14ac:dyDescent="0.2">
      <c r="AI254" s="730">
        <v>0.97500000000000298</v>
      </c>
      <c r="AJ254" s="731">
        <v>20.3</v>
      </c>
    </row>
    <row r="255" spans="35:36" ht="15" x14ac:dyDescent="0.2">
      <c r="AI255" s="730">
        <v>0.97490000000000299</v>
      </c>
      <c r="AJ255" s="731">
        <v>20.399999999999999</v>
      </c>
    </row>
    <row r="256" spans="35:36" ht="15" x14ac:dyDescent="0.2">
      <c r="AI256" s="730">
        <v>0.974800000000003</v>
      </c>
      <c r="AJ256" s="731">
        <v>20.49</v>
      </c>
    </row>
    <row r="257" spans="35:36" ht="15" x14ac:dyDescent="0.2">
      <c r="AI257" s="730">
        <v>0.97470000000000301</v>
      </c>
      <c r="AJ257" s="731">
        <v>20.59</v>
      </c>
    </row>
    <row r="258" spans="35:36" ht="15" x14ac:dyDescent="0.2">
      <c r="AI258" s="730">
        <v>0.97460000000000302</v>
      </c>
      <c r="AJ258" s="731">
        <v>20.68</v>
      </c>
    </row>
    <row r="259" spans="35:36" ht="15" x14ac:dyDescent="0.2">
      <c r="AI259" s="730">
        <v>0.97450000000000303</v>
      </c>
      <c r="AJ259" s="731">
        <v>20.77</v>
      </c>
    </row>
    <row r="260" spans="35:36" ht="15" x14ac:dyDescent="0.2">
      <c r="AI260" s="730">
        <v>0.97440000000000304</v>
      </c>
      <c r="AJ260" s="731">
        <v>20.87</v>
      </c>
    </row>
    <row r="261" spans="35:36" ht="15" x14ac:dyDescent="0.2">
      <c r="AI261" s="730">
        <v>0.97430000000000305</v>
      </c>
      <c r="AJ261" s="731">
        <v>20.96</v>
      </c>
    </row>
    <row r="262" spans="35:36" ht="15" x14ac:dyDescent="0.2">
      <c r="AI262" s="730">
        <v>0.97420000000000295</v>
      </c>
      <c r="AJ262" s="731">
        <v>21.05</v>
      </c>
    </row>
    <row r="263" spans="35:36" ht="15" x14ac:dyDescent="0.2">
      <c r="AI263" s="730">
        <v>0.97410000000000296</v>
      </c>
      <c r="AJ263" s="731">
        <v>21.15</v>
      </c>
    </row>
    <row r="264" spans="35:36" ht="15" x14ac:dyDescent="0.2">
      <c r="AI264" s="730">
        <v>0.97400000000000297</v>
      </c>
      <c r="AJ264" s="731">
        <v>21.24</v>
      </c>
    </row>
    <row r="265" spans="35:36" ht="15" x14ac:dyDescent="0.2">
      <c r="AI265" s="730">
        <v>0.97390000000000299</v>
      </c>
      <c r="AJ265" s="731">
        <v>21.33</v>
      </c>
    </row>
    <row r="266" spans="35:36" ht="15" x14ac:dyDescent="0.2">
      <c r="AI266" s="730">
        <v>0.973800000000003</v>
      </c>
      <c r="AJ266" s="731">
        <v>21.42</v>
      </c>
    </row>
    <row r="267" spans="35:36" ht="15" x14ac:dyDescent="0.2">
      <c r="AI267" s="730">
        <v>0.97370000000000301</v>
      </c>
      <c r="AJ267" s="731">
        <v>21.52</v>
      </c>
    </row>
    <row r="268" spans="35:36" ht="15" x14ac:dyDescent="0.2">
      <c r="AI268" s="730">
        <v>0.97360000000000302</v>
      </c>
      <c r="AJ268" s="731">
        <v>21.61</v>
      </c>
    </row>
    <row r="269" spans="35:36" ht="15" x14ac:dyDescent="0.2">
      <c r="AI269" s="730">
        <v>0.97350000000000303</v>
      </c>
      <c r="AJ269" s="731">
        <v>21.7</v>
      </c>
    </row>
    <row r="270" spans="35:36" ht="15" x14ac:dyDescent="0.2">
      <c r="AI270" s="730">
        <v>0.97340000000000304</v>
      </c>
      <c r="AJ270" s="731">
        <v>21.79</v>
      </c>
    </row>
    <row r="271" spans="35:36" ht="15" x14ac:dyDescent="0.2">
      <c r="AI271" s="730">
        <v>0.97330000000000305</v>
      </c>
      <c r="AJ271" s="731">
        <v>21.89</v>
      </c>
    </row>
    <row r="272" spans="35:36" ht="15" x14ac:dyDescent="0.2">
      <c r="AI272" s="730">
        <v>0.97320000000000295</v>
      </c>
      <c r="AJ272" s="731">
        <v>21.98</v>
      </c>
    </row>
    <row r="273" spans="35:36" ht="15" x14ac:dyDescent="0.2">
      <c r="AI273" s="730">
        <v>0.97310000000000296</v>
      </c>
      <c r="AJ273" s="731">
        <v>22.07</v>
      </c>
    </row>
    <row r="274" spans="35:36" ht="15" x14ac:dyDescent="0.2">
      <c r="AI274" s="730">
        <v>0.97300000000000297</v>
      </c>
      <c r="AJ274" s="731">
        <v>22.16</v>
      </c>
    </row>
    <row r="275" spans="35:36" ht="15" x14ac:dyDescent="0.2">
      <c r="AI275" s="730">
        <v>0.97290000000000298</v>
      </c>
      <c r="AJ275" s="731">
        <v>22.25</v>
      </c>
    </row>
    <row r="276" spans="35:36" ht="15" x14ac:dyDescent="0.2">
      <c r="AI276" s="730">
        <v>0.972800000000003</v>
      </c>
      <c r="AJ276" s="731">
        <v>22.34</v>
      </c>
    </row>
    <row r="277" spans="35:36" ht="15" x14ac:dyDescent="0.2">
      <c r="AI277" s="730">
        <v>0.97270000000000301</v>
      </c>
      <c r="AJ277" s="731">
        <v>22.43</v>
      </c>
    </row>
    <row r="278" spans="35:36" ht="15" x14ac:dyDescent="0.2">
      <c r="AI278" s="730">
        <v>0.97260000000000302</v>
      </c>
      <c r="AJ278" s="731">
        <v>22.52</v>
      </c>
    </row>
    <row r="279" spans="35:36" ht="15" x14ac:dyDescent="0.2">
      <c r="AI279" s="730">
        <v>0.97250000000000303</v>
      </c>
      <c r="AJ279" s="731">
        <v>22.62</v>
      </c>
    </row>
    <row r="280" spans="35:36" ht="15" x14ac:dyDescent="0.2">
      <c r="AI280" s="730">
        <v>0.97240000000000304</v>
      </c>
      <c r="AJ280" s="731">
        <v>22.71</v>
      </c>
    </row>
    <row r="281" spans="35:36" ht="15" x14ac:dyDescent="0.2">
      <c r="AI281" s="730">
        <v>0.97230000000000305</v>
      </c>
      <c r="AJ281" s="731">
        <v>22.8</v>
      </c>
    </row>
    <row r="282" spans="35:36" ht="15" x14ac:dyDescent="0.2">
      <c r="AI282" s="730">
        <v>0.97220000000000395</v>
      </c>
      <c r="AJ282" s="731">
        <v>22.89</v>
      </c>
    </row>
    <row r="283" spans="35:36" ht="15" x14ac:dyDescent="0.2">
      <c r="AI283" s="730">
        <v>0.97210000000000396</v>
      </c>
      <c r="AJ283" s="731">
        <v>22.98</v>
      </c>
    </row>
    <row r="284" spans="35:36" ht="15" x14ac:dyDescent="0.2">
      <c r="AI284" s="730">
        <v>0.97200000000000397</v>
      </c>
      <c r="AJ284" s="731">
        <v>23.07</v>
      </c>
    </row>
    <row r="285" spans="35:36" ht="15" x14ac:dyDescent="0.2">
      <c r="AI285" s="730">
        <v>0.97190000000000398</v>
      </c>
      <c r="AJ285" s="731">
        <v>23.16</v>
      </c>
    </row>
    <row r="286" spans="35:36" ht="15" x14ac:dyDescent="0.2">
      <c r="AI286" s="730">
        <v>0.97180000000000399</v>
      </c>
      <c r="AJ286" s="731">
        <v>23.25</v>
      </c>
    </row>
    <row r="287" spans="35:36" ht="15" x14ac:dyDescent="0.2">
      <c r="AI287" s="730">
        <v>0.971700000000004</v>
      </c>
      <c r="AJ287" s="731">
        <v>23.34</v>
      </c>
    </row>
    <row r="288" spans="35:36" ht="15" x14ac:dyDescent="0.2">
      <c r="AI288" s="730">
        <v>0.97160000000000402</v>
      </c>
      <c r="AJ288" s="731">
        <v>23.43</v>
      </c>
    </row>
    <row r="289" spans="35:36" ht="15" x14ac:dyDescent="0.2">
      <c r="AI289" s="730">
        <v>0.97150000000000403</v>
      </c>
      <c r="AJ289" s="731">
        <v>23.52</v>
      </c>
    </row>
    <row r="290" spans="35:36" ht="15" x14ac:dyDescent="0.2">
      <c r="AI290" s="730">
        <v>0.97140000000000404</v>
      </c>
      <c r="AJ290" s="731">
        <v>23.61</v>
      </c>
    </row>
    <row r="291" spans="35:36" ht="15" x14ac:dyDescent="0.2">
      <c r="AI291" s="730">
        <v>0.97130000000000405</v>
      </c>
      <c r="AJ291" s="731">
        <v>23.7</v>
      </c>
    </row>
    <row r="292" spans="35:36" ht="15" x14ac:dyDescent="0.2">
      <c r="AI292" s="730">
        <v>0.97120000000000395</v>
      </c>
      <c r="AJ292" s="731">
        <v>23.79</v>
      </c>
    </row>
    <row r="293" spans="35:36" ht="15" x14ac:dyDescent="0.2">
      <c r="AI293" s="730">
        <v>0.97110000000000396</v>
      </c>
      <c r="AJ293" s="731">
        <v>23.88</v>
      </c>
    </row>
    <row r="294" spans="35:36" ht="15" x14ac:dyDescent="0.2">
      <c r="AI294" s="730">
        <v>0.97100000000000397</v>
      </c>
      <c r="AJ294" s="731">
        <v>23.97</v>
      </c>
    </row>
    <row r="295" spans="35:36" ht="15" x14ac:dyDescent="0.2">
      <c r="AI295" s="730">
        <v>0.97090000000000398</v>
      </c>
      <c r="AJ295" s="731">
        <v>24.06</v>
      </c>
    </row>
    <row r="296" spans="35:36" ht="15" x14ac:dyDescent="0.2">
      <c r="AI296" s="730">
        <v>0.97080000000000399</v>
      </c>
      <c r="AJ296" s="731">
        <v>24.15</v>
      </c>
    </row>
    <row r="297" spans="35:36" ht="15" x14ac:dyDescent="0.2">
      <c r="AI297" s="730">
        <v>0.970700000000004</v>
      </c>
      <c r="AJ297" s="731">
        <v>24.24</v>
      </c>
    </row>
    <row r="298" spans="35:36" ht="15" x14ac:dyDescent="0.2">
      <c r="AI298" s="730">
        <v>0.97060000000000402</v>
      </c>
      <c r="AJ298" s="731">
        <v>24.33</v>
      </c>
    </row>
    <row r="299" spans="35:36" ht="15" x14ac:dyDescent="0.2">
      <c r="AI299" s="730">
        <v>0.97050000000000403</v>
      </c>
      <c r="AJ299" s="731">
        <v>24.42</v>
      </c>
    </row>
    <row r="300" spans="35:36" ht="15" x14ac:dyDescent="0.2">
      <c r="AI300" s="730">
        <v>0.97040000000000404</v>
      </c>
      <c r="AJ300" s="731">
        <v>24.51</v>
      </c>
    </row>
    <row r="301" spans="35:36" ht="15" x14ac:dyDescent="0.2">
      <c r="AI301" s="730">
        <v>0.97030000000000405</v>
      </c>
      <c r="AJ301" s="731">
        <v>24.59</v>
      </c>
    </row>
    <row r="302" spans="35:36" ht="15" x14ac:dyDescent="0.2">
      <c r="AI302" s="730">
        <v>0.97020000000000395</v>
      </c>
      <c r="AJ302" s="731">
        <v>24.68</v>
      </c>
    </row>
    <row r="303" spans="35:36" ht="15" x14ac:dyDescent="0.2">
      <c r="AI303" s="730">
        <v>0.97010000000000396</v>
      </c>
      <c r="AJ303" s="731">
        <v>24.77</v>
      </c>
    </row>
    <row r="304" spans="35:36" ht="15" x14ac:dyDescent="0.2">
      <c r="AI304" s="730">
        <v>0.97000000000000397</v>
      </c>
      <c r="AJ304" s="731">
        <v>24.86</v>
      </c>
    </row>
    <row r="305" spans="35:36" ht="15" x14ac:dyDescent="0.2">
      <c r="AI305" s="730">
        <v>0.96990000000000398</v>
      </c>
      <c r="AJ305" s="731">
        <v>24.95</v>
      </c>
    </row>
    <row r="306" spans="35:36" ht="15" x14ac:dyDescent="0.2">
      <c r="AI306" s="730">
        <v>0.96980000000000399</v>
      </c>
      <c r="AJ306" s="731">
        <v>25.04</v>
      </c>
    </row>
    <row r="307" spans="35:36" ht="15" x14ac:dyDescent="0.2">
      <c r="AI307" s="730">
        <v>0.969700000000004</v>
      </c>
      <c r="AJ307" s="731">
        <v>25.12</v>
      </c>
    </row>
    <row r="308" spans="35:36" ht="15" x14ac:dyDescent="0.2">
      <c r="AI308" s="730">
        <v>0.96960000000000401</v>
      </c>
      <c r="AJ308" s="731">
        <v>25.21</v>
      </c>
    </row>
    <row r="309" spans="35:36" ht="15" x14ac:dyDescent="0.2">
      <c r="AI309" s="730">
        <v>0.96950000000000403</v>
      </c>
      <c r="AJ309" s="731">
        <v>25.3</v>
      </c>
    </row>
    <row r="310" spans="35:36" ht="15" x14ac:dyDescent="0.2">
      <c r="AI310" s="730">
        <v>0.96940000000000404</v>
      </c>
      <c r="AJ310" s="731">
        <v>25.39</v>
      </c>
    </row>
    <row r="311" spans="35:36" ht="15" x14ac:dyDescent="0.2">
      <c r="AI311" s="730">
        <v>0.96930000000000405</v>
      </c>
      <c r="AJ311" s="731">
        <v>25.48</v>
      </c>
    </row>
    <row r="312" spans="35:36" ht="15" x14ac:dyDescent="0.2">
      <c r="AI312" s="730">
        <v>0.96920000000000395</v>
      </c>
      <c r="AJ312" s="731">
        <v>25.56</v>
      </c>
    </row>
    <row r="313" spans="35:36" ht="15" x14ac:dyDescent="0.2">
      <c r="AI313" s="730">
        <v>0.96910000000000396</v>
      </c>
      <c r="AJ313" s="731">
        <v>25.65</v>
      </c>
    </row>
    <row r="314" spans="35:36" ht="15" x14ac:dyDescent="0.2">
      <c r="AI314" s="730">
        <v>0.96900000000000397</v>
      </c>
      <c r="AJ314" s="731">
        <v>25.74</v>
      </c>
    </row>
    <row r="315" spans="35:36" ht="15" x14ac:dyDescent="0.2">
      <c r="AI315" s="730">
        <v>0.96890000000000398</v>
      </c>
      <c r="AJ315" s="731">
        <v>25.83</v>
      </c>
    </row>
    <row r="316" spans="35:36" ht="15" x14ac:dyDescent="0.2">
      <c r="AI316" s="730">
        <v>0.96880000000000399</v>
      </c>
      <c r="AJ316" s="731">
        <v>25.91</v>
      </c>
    </row>
    <row r="317" spans="35:36" ht="15" x14ac:dyDescent="0.2">
      <c r="AI317" s="730">
        <v>0.968700000000004</v>
      </c>
      <c r="AJ317" s="731">
        <v>26</v>
      </c>
    </row>
    <row r="318" spans="35:36" ht="15" x14ac:dyDescent="0.2">
      <c r="AI318" s="730">
        <v>0.96860000000000401</v>
      </c>
      <c r="AJ318" s="731">
        <v>26.09</v>
      </c>
    </row>
    <row r="319" spans="35:36" ht="15" x14ac:dyDescent="0.2">
      <c r="AI319" s="730">
        <v>0.96850000000000402</v>
      </c>
      <c r="AJ319" s="731">
        <v>26.17</v>
      </c>
    </row>
    <row r="320" spans="35:36" ht="15" x14ac:dyDescent="0.2">
      <c r="AI320" s="730">
        <v>0.96840000000000404</v>
      </c>
      <c r="AJ320" s="731">
        <v>26.26</v>
      </c>
    </row>
    <row r="321" spans="35:36" ht="15" x14ac:dyDescent="0.2">
      <c r="AI321" s="730">
        <v>0.96830000000000405</v>
      </c>
      <c r="AJ321" s="731">
        <v>26.35</v>
      </c>
    </row>
    <row r="322" spans="35:36" ht="15" x14ac:dyDescent="0.2">
      <c r="AI322" s="730">
        <v>0.96820000000000395</v>
      </c>
      <c r="AJ322" s="731">
        <v>26.43</v>
      </c>
    </row>
    <row r="323" spans="35:36" ht="15" x14ac:dyDescent="0.2">
      <c r="AI323" s="730">
        <v>0.96810000000000396</v>
      </c>
      <c r="AJ323" s="731">
        <v>26.52</v>
      </c>
    </row>
    <row r="324" spans="35:36" ht="15" x14ac:dyDescent="0.2">
      <c r="AI324" s="730">
        <v>0.96800000000000397</v>
      </c>
      <c r="AJ324" s="731">
        <v>26.61</v>
      </c>
    </row>
    <row r="325" spans="35:36" ht="15" x14ac:dyDescent="0.2">
      <c r="AI325" s="730">
        <v>0.96790000000000398</v>
      </c>
      <c r="AJ325" s="731">
        <v>26.69</v>
      </c>
    </row>
    <row r="326" spans="35:36" ht="15" x14ac:dyDescent="0.2">
      <c r="AI326" s="730">
        <v>0.96780000000000399</v>
      </c>
      <c r="AJ326" s="731">
        <v>26.78</v>
      </c>
    </row>
    <row r="327" spans="35:36" ht="15" x14ac:dyDescent="0.2">
      <c r="AI327" s="730">
        <v>0.967700000000004</v>
      </c>
      <c r="AJ327" s="731">
        <v>26.86</v>
      </c>
    </row>
    <row r="328" spans="35:36" ht="15" x14ac:dyDescent="0.2">
      <c r="AI328" s="730">
        <v>0.96760000000000401</v>
      </c>
      <c r="AJ328" s="731">
        <v>26.95</v>
      </c>
    </row>
    <row r="329" spans="35:36" ht="15" x14ac:dyDescent="0.2">
      <c r="AI329" s="730">
        <v>0.96750000000000402</v>
      </c>
      <c r="AJ329" s="731">
        <v>27.04</v>
      </c>
    </row>
    <row r="330" spans="35:36" ht="15" x14ac:dyDescent="0.2">
      <c r="AI330" s="730">
        <v>0.96740000000000403</v>
      </c>
      <c r="AJ330" s="731">
        <v>27.12</v>
      </c>
    </row>
    <row r="331" spans="35:36" ht="15" x14ac:dyDescent="0.2">
      <c r="AI331" s="730">
        <v>0.96730000000000405</v>
      </c>
      <c r="AJ331" s="731">
        <v>27.21</v>
      </c>
    </row>
    <row r="332" spans="35:36" ht="15" x14ac:dyDescent="0.2">
      <c r="AI332" s="730">
        <v>0.96720000000000395</v>
      </c>
      <c r="AJ332" s="731">
        <v>27.29</v>
      </c>
    </row>
    <row r="333" spans="35:36" ht="15" x14ac:dyDescent="0.2">
      <c r="AI333" s="730">
        <v>0.96710000000000396</v>
      </c>
      <c r="AJ333" s="731">
        <v>27.38</v>
      </c>
    </row>
    <row r="334" spans="35:36" ht="15" x14ac:dyDescent="0.2">
      <c r="AI334" s="730">
        <v>0.96700000000000397</v>
      </c>
      <c r="AJ334" s="731">
        <v>27.46</v>
      </c>
    </row>
    <row r="335" spans="35:36" ht="15" x14ac:dyDescent="0.2">
      <c r="AI335" s="730">
        <v>0.96690000000000398</v>
      </c>
      <c r="AJ335" s="731">
        <v>27.55</v>
      </c>
    </row>
    <row r="336" spans="35:36" ht="15" x14ac:dyDescent="0.2">
      <c r="AI336" s="730">
        <v>0.96680000000000399</v>
      </c>
      <c r="AJ336" s="731">
        <v>27.63</v>
      </c>
    </row>
    <row r="337" spans="35:36" ht="15" x14ac:dyDescent="0.2">
      <c r="AI337" s="730">
        <v>0.966700000000004</v>
      </c>
      <c r="AJ337" s="731">
        <v>27.72</v>
      </c>
    </row>
    <row r="338" spans="35:36" ht="15" x14ac:dyDescent="0.2">
      <c r="AI338" s="730">
        <v>0.96660000000000401</v>
      </c>
      <c r="AJ338" s="731">
        <v>27.8</v>
      </c>
    </row>
    <row r="339" spans="35:36" ht="15" x14ac:dyDescent="0.2">
      <c r="AI339" s="730">
        <v>0.96650000000000402</v>
      </c>
      <c r="AJ339" s="731">
        <v>27.89</v>
      </c>
    </row>
    <row r="340" spans="35:36" ht="15" x14ac:dyDescent="0.2">
      <c r="AI340" s="730">
        <v>0.96640000000000403</v>
      </c>
      <c r="AJ340" s="731">
        <v>27.97</v>
      </c>
    </row>
    <row r="341" spans="35:36" ht="15" x14ac:dyDescent="0.2">
      <c r="AI341" s="730">
        <v>0.96630000000000404</v>
      </c>
      <c r="AJ341" s="731">
        <v>28.05</v>
      </c>
    </row>
    <row r="342" spans="35:36" ht="15" x14ac:dyDescent="0.2">
      <c r="AI342" s="730">
        <v>0.96620000000000394</v>
      </c>
      <c r="AJ342" s="731">
        <v>28.14</v>
      </c>
    </row>
    <row r="343" spans="35:36" ht="15" x14ac:dyDescent="0.2">
      <c r="AI343" s="730">
        <v>0.96610000000000396</v>
      </c>
      <c r="AJ343" s="731">
        <v>28.22</v>
      </c>
    </row>
    <row r="344" spans="35:36" ht="15" x14ac:dyDescent="0.2">
      <c r="AI344" s="730">
        <v>0.96600000000000397</v>
      </c>
      <c r="AJ344" s="731">
        <v>28.31</v>
      </c>
    </row>
    <row r="345" spans="35:36" ht="15" x14ac:dyDescent="0.2">
      <c r="AI345" s="730">
        <v>0.96590000000000398</v>
      </c>
      <c r="AJ345" s="731">
        <v>28.39</v>
      </c>
    </row>
    <row r="346" spans="35:36" ht="15" x14ac:dyDescent="0.2">
      <c r="AI346" s="730">
        <v>0.96580000000000399</v>
      </c>
      <c r="AJ346" s="731">
        <v>28.47</v>
      </c>
    </row>
    <row r="347" spans="35:36" ht="15" x14ac:dyDescent="0.2">
      <c r="AI347" s="730">
        <v>0.965700000000004</v>
      </c>
      <c r="AJ347" s="731">
        <v>28.56</v>
      </c>
    </row>
    <row r="348" spans="35:36" ht="15" x14ac:dyDescent="0.2">
      <c r="AI348" s="730">
        <v>0.96560000000000401</v>
      </c>
      <c r="AJ348" s="731">
        <v>28.64</v>
      </c>
    </row>
    <row r="349" spans="35:36" ht="15" x14ac:dyDescent="0.2">
      <c r="AI349" s="730">
        <v>0.96550000000000402</v>
      </c>
      <c r="AJ349" s="731">
        <v>28.73</v>
      </c>
    </row>
    <row r="350" spans="35:36" ht="15" x14ac:dyDescent="0.2">
      <c r="AI350" s="730">
        <v>0.96540000000000403</v>
      </c>
      <c r="AJ350" s="731">
        <v>28.81</v>
      </c>
    </row>
    <row r="351" spans="35:36" ht="15" x14ac:dyDescent="0.2">
      <c r="AI351" s="730">
        <v>0.96530000000000404</v>
      </c>
      <c r="AJ351" s="731">
        <v>28.89</v>
      </c>
    </row>
    <row r="352" spans="35:36" ht="15" x14ac:dyDescent="0.2">
      <c r="AI352" s="730">
        <v>0.96520000000000405</v>
      </c>
      <c r="AJ352" s="731">
        <v>28.98</v>
      </c>
    </row>
    <row r="353" spans="35:36" ht="15" x14ac:dyDescent="0.2">
      <c r="AI353" s="730">
        <v>0.96510000000000395</v>
      </c>
      <c r="AJ353" s="731">
        <v>29.06</v>
      </c>
    </row>
    <row r="354" spans="35:36" ht="15" x14ac:dyDescent="0.2">
      <c r="AI354" s="730">
        <v>0.96500000000000397</v>
      </c>
      <c r="AJ354" s="731">
        <v>29.14</v>
      </c>
    </row>
    <row r="355" spans="35:36" ht="15" x14ac:dyDescent="0.2">
      <c r="AI355" s="730">
        <v>0.96490000000000398</v>
      </c>
      <c r="AJ355" s="731">
        <v>29.22</v>
      </c>
    </row>
    <row r="356" spans="35:36" ht="15" x14ac:dyDescent="0.2">
      <c r="AI356" s="730">
        <v>0.96480000000000399</v>
      </c>
      <c r="AJ356" s="731">
        <v>29.31</v>
      </c>
    </row>
    <row r="357" spans="35:36" ht="15" x14ac:dyDescent="0.2">
      <c r="AI357" s="730">
        <v>0.964700000000004</v>
      </c>
      <c r="AJ357" s="731">
        <v>29.39</v>
      </c>
    </row>
    <row r="358" spans="35:36" ht="15" x14ac:dyDescent="0.2">
      <c r="AI358" s="730">
        <v>0.96460000000000401</v>
      </c>
      <c r="AJ358" s="731">
        <v>29.47</v>
      </c>
    </row>
    <row r="359" spans="35:36" ht="15" x14ac:dyDescent="0.2">
      <c r="AI359" s="730">
        <v>0.96450000000000402</v>
      </c>
      <c r="AJ359" s="731">
        <v>29.55</v>
      </c>
    </row>
    <row r="360" spans="35:36" ht="15" x14ac:dyDescent="0.2">
      <c r="AI360" s="730">
        <v>0.96440000000000403</v>
      </c>
      <c r="AJ360" s="731">
        <v>29.64</v>
      </c>
    </row>
    <row r="361" spans="35:36" ht="15" x14ac:dyDescent="0.2">
      <c r="AI361" s="730">
        <v>0.96430000000000404</v>
      </c>
      <c r="AJ361" s="731">
        <v>29.72</v>
      </c>
    </row>
    <row r="362" spans="35:36" ht="15" x14ac:dyDescent="0.2">
      <c r="AI362" s="730">
        <v>0.96420000000000405</v>
      </c>
      <c r="AJ362" s="731">
        <v>29.8</v>
      </c>
    </row>
    <row r="363" spans="35:36" ht="15" x14ac:dyDescent="0.2">
      <c r="AI363" s="730">
        <v>0.96410000000000395</v>
      </c>
      <c r="AJ363" s="731">
        <v>29.88</v>
      </c>
    </row>
    <row r="364" spans="35:36" ht="15" x14ac:dyDescent="0.2">
      <c r="AI364" s="730">
        <v>0.96400000000000396</v>
      </c>
      <c r="AJ364" s="731">
        <v>29.96</v>
      </c>
    </row>
    <row r="365" spans="35:36" ht="15" x14ac:dyDescent="0.2">
      <c r="AI365" s="730">
        <v>0.96390000000000398</v>
      </c>
      <c r="AJ365" s="731">
        <v>30.04</v>
      </c>
    </row>
    <row r="366" spans="35:36" ht="15" x14ac:dyDescent="0.2">
      <c r="AI366" s="730">
        <v>0.96380000000000399</v>
      </c>
      <c r="AJ366" s="731">
        <v>30.12</v>
      </c>
    </row>
    <row r="367" spans="35:36" ht="15" x14ac:dyDescent="0.2">
      <c r="AI367" s="730">
        <v>0.963700000000004</v>
      </c>
      <c r="AJ367" s="731">
        <v>30.2</v>
      </c>
    </row>
    <row r="368" spans="35:36" ht="15" x14ac:dyDescent="0.2">
      <c r="AI368" s="730">
        <v>0.96360000000000401</v>
      </c>
      <c r="AJ368" s="731">
        <v>30.29</v>
      </c>
    </row>
    <row r="369" spans="35:36" ht="15" x14ac:dyDescent="0.2">
      <c r="AI369" s="730">
        <v>0.96350000000000402</v>
      </c>
      <c r="AJ369" s="731">
        <v>30.37</v>
      </c>
    </row>
    <row r="370" spans="35:36" ht="15" x14ac:dyDescent="0.2">
      <c r="AI370" s="730">
        <v>0.96340000000000403</v>
      </c>
      <c r="AJ370" s="731">
        <v>30.45</v>
      </c>
    </row>
    <row r="371" spans="35:36" ht="15" x14ac:dyDescent="0.2">
      <c r="AI371" s="730">
        <v>0.96330000000000404</v>
      </c>
      <c r="AJ371" s="731">
        <v>30.53</v>
      </c>
    </row>
    <row r="372" spans="35:36" ht="15" x14ac:dyDescent="0.2">
      <c r="AI372" s="730">
        <v>0.96320000000000405</v>
      </c>
      <c r="AJ372" s="731">
        <v>30.61</v>
      </c>
    </row>
    <row r="373" spans="35:36" ht="15" x14ac:dyDescent="0.2">
      <c r="AI373" s="730">
        <v>0.96310000000000495</v>
      </c>
      <c r="AJ373" s="731">
        <v>30.69</v>
      </c>
    </row>
    <row r="374" spans="35:36" ht="15" x14ac:dyDescent="0.2">
      <c r="AI374" s="730">
        <v>0.96300000000000496</v>
      </c>
      <c r="AJ374" s="731">
        <v>30.77</v>
      </c>
    </row>
    <row r="375" spans="35:36" ht="15" x14ac:dyDescent="0.2">
      <c r="AI375" s="730">
        <v>0.96290000000000497</v>
      </c>
      <c r="AJ375" s="731">
        <v>30.85</v>
      </c>
    </row>
    <row r="376" spans="35:36" ht="15" x14ac:dyDescent="0.2">
      <c r="AI376" s="730">
        <v>0.96280000000000499</v>
      </c>
      <c r="AJ376" s="731">
        <v>30.92</v>
      </c>
    </row>
    <row r="377" spans="35:36" ht="15" x14ac:dyDescent="0.2">
      <c r="AI377" s="730">
        <v>0.962700000000005</v>
      </c>
      <c r="AJ377" s="731">
        <v>31</v>
      </c>
    </row>
    <row r="378" spans="35:36" ht="15" x14ac:dyDescent="0.2">
      <c r="AI378" s="730">
        <v>0.96260000000000501</v>
      </c>
      <c r="AJ378" s="731">
        <v>31.08</v>
      </c>
    </row>
    <row r="379" spans="35:36" ht="15" x14ac:dyDescent="0.2">
      <c r="AI379" s="730">
        <v>0.96250000000000502</v>
      </c>
      <c r="AJ379" s="731">
        <v>31.16</v>
      </c>
    </row>
    <row r="380" spans="35:36" ht="15" x14ac:dyDescent="0.2">
      <c r="AI380" s="730">
        <v>0.96240000000000503</v>
      </c>
      <c r="AJ380" s="731">
        <v>31.24</v>
      </c>
    </row>
    <row r="381" spans="35:36" ht="15" x14ac:dyDescent="0.2">
      <c r="AI381" s="730">
        <v>0.96230000000000504</v>
      </c>
      <c r="AJ381" s="731">
        <v>31.32</v>
      </c>
    </row>
    <row r="382" spans="35:36" ht="15" x14ac:dyDescent="0.2">
      <c r="AI382" s="730">
        <v>0.96220000000000505</v>
      </c>
      <c r="AJ382" s="731">
        <v>31.4</v>
      </c>
    </row>
    <row r="383" spans="35:36" ht="15" x14ac:dyDescent="0.2">
      <c r="AI383" s="730">
        <v>0.96210000000000495</v>
      </c>
      <c r="AJ383" s="731">
        <v>31.47</v>
      </c>
    </row>
    <row r="384" spans="35:36" ht="15" x14ac:dyDescent="0.2">
      <c r="AI384" s="730">
        <v>0.96200000000000496</v>
      </c>
      <c r="AJ384" s="731">
        <v>31.55</v>
      </c>
    </row>
    <row r="385" spans="35:36" ht="15" x14ac:dyDescent="0.2">
      <c r="AI385" s="730">
        <v>0.96190000000000497</v>
      </c>
      <c r="AJ385" s="731">
        <v>31.63</v>
      </c>
    </row>
    <row r="386" spans="35:36" ht="15" x14ac:dyDescent="0.2">
      <c r="AI386" s="730">
        <v>0.96180000000000498</v>
      </c>
      <c r="AJ386" s="731">
        <v>31.71</v>
      </c>
    </row>
    <row r="387" spans="35:36" ht="15" x14ac:dyDescent="0.2">
      <c r="AI387" s="730">
        <v>0.961700000000005</v>
      </c>
      <c r="AJ387" s="731">
        <v>31.78</v>
      </c>
    </row>
    <row r="388" spans="35:36" ht="15" x14ac:dyDescent="0.2">
      <c r="AI388" s="730">
        <v>0.96160000000000501</v>
      </c>
      <c r="AJ388" s="731">
        <v>31.86</v>
      </c>
    </row>
    <row r="389" spans="35:36" ht="15" x14ac:dyDescent="0.2">
      <c r="AI389" s="730">
        <v>0.96150000000000502</v>
      </c>
      <c r="AJ389" s="731">
        <v>31.94</v>
      </c>
    </row>
    <row r="390" spans="35:36" ht="15" x14ac:dyDescent="0.2">
      <c r="AI390" s="730">
        <v>0.96140000000000503</v>
      </c>
      <c r="AJ390" s="731">
        <v>32.01</v>
      </c>
    </row>
    <row r="391" spans="35:36" ht="15" x14ac:dyDescent="0.2">
      <c r="AI391" s="730">
        <v>0.96130000000000504</v>
      </c>
      <c r="AJ391" s="731">
        <v>32.090000000000003</v>
      </c>
    </row>
    <row r="392" spans="35:36" ht="15" x14ac:dyDescent="0.2">
      <c r="AI392" s="730">
        <v>0.96120000000000505</v>
      </c>
      <c r="AJ392" s="731">
        <v>32.17</v>
      </c>
    </row>
    <row r="393" spans="35:36" ht="15" x14ac:dyDescent="0.2">
      <c r="AI393" s="730">
        <v>0.96110000000000495</v>
      </c>
      <c r="AJ393" s="731">
        <v>32.24</v>
      </c>
    </row>
    <row r="394" spans="35:36" ht="15" x14ac:dyDescent="0.2">
      <c r="AI394" s="730">
        <v>0.96100000000000496</v>
      </c>
      <c r="AJ394" s="731">
        <v>32.32</v>
      </c>
    </row>
    <row r="395" spans="35:36" ht="15" x14ac:dyDescent="0.2">
      <c r="AI395" s="730">
        <v>0.96090000000000497</v>
      </c>
      <c r="AJ395" s="731">
        <v>32.39</v>
      </c>
    </row>
    <row r="396" spans="35:36" ht="15" x14ac:dyDescent="0.2">
      <c r="AI396" s="730">
        <v>0.96080000000000498</v>
      </c>
      <c r="AJ396" s="731">
        <v>32.47</v>
      </c>
    </row>
    <row r="397" spans="35:36" ht="15" x14ac:dyDescent="0.2">
      <c r="AI397" s="730">
        <v>0.96070000000000499</v>
      </c>
      <c r="AJ397" s="731">
        <v>32.54</v>
      </c>
    </row>
    <row r="398" spans="35:36" ht="15" x14ac:dyDescent="0.2">
      <c r="AI398" s="730">
        <v>0.96060000000000501</v>
      </c>
      <c r="AJ398" s="731">
        <v>32.619999999999997</v>
      </c>
    </row>
    <row r="399" spans="35:36" ht="15" x14ac:dyDescent="0.2">
      <c r="AI399" s="730">
        <v>0.96050000000000502</v>
      </c>
      <c r="AJ399" s="731">
        <v>32.69</v>
      </c>
    </row>
    <row r="400" spans="35:36" ht="15" x14ac:dyDescent="0.2">
      <c r="AI400" s="730">
        <v>0.96040000000000503</v>
      </c>
      <c r="AJ400" s="731">
        <v>32.770000000000003</v>
      </c>
    </row>
    <row r="401" spans="35:36" ht="15" x14ac:dyDescent="0.2">
      <c r="AI401" s="730">
        <v>0.96030000000000504</v>
      </c>
      <c r="AJ401" s="731">
        <v>32.840000000000003</v>
      </c>
    </row>
    <row r="402" spans="35:36" ht="15" x14ac:dyDescent="0.2">
      <c r="AI402" s="730">
        <v>0.96020000000000505</v>
      </c>
      <c r="AJ402" s="731">
        <v>32.92</v>
      </c>
    </row>
    <row r="403" spans="35:36" ht="15" x14ac:dyDescent="0.2">
      <c r="AI403" s="730">
        <v>0.96010000000000495</v>
      </c>
      <c r="AJ403" s="731">
        <v>32.99</v>
      </c>
    </row>
    <row r="404" spans="35:36" ht="15" x14ac:dyDescent="0.2">
      <c r="AI404" s="730">
        <v>0.96000000000000496</v>
      </c>
      <c r="AJ404" s="731">
        <v>33.07</v>
      </c>
    </row>
    <row r="405" spans="35:36" ht="15" x14ac:dyDescent="0.2">
      <c r="AI405" s="730">
        <v>0.95990000000000497</v>
      </c>
      <c r="AJ405" s="731">
        <v>33.14</v>
      </c>
    </row>
    <row r="406" spans="35:36" ht="15" x14ac:dyDescent="0.2">
      <c r="AI406" s="730">
        <v>0.95980000000000498</v>
      </c>
      <c r="AJ406" s="731">
        <v>33.22</v>
      </c>
    </row>
    <row r="407" spans="35:36" ht="15" x14ac:dyDescent="0.2">
      <c r="AI407" s="730">
        <v>0.95970000000000499</v>
      </c>
      <c r="AJ407" s="731">
        <v>33.29</v>
      </c>
    </row>
    <row r="408" spans="35:36" ht="15" x14ac:dyDescent="0.2">
      <c r="AI408" s="730">
        <v>0.959600000000005</v>
      </c>
      <c r="AJ408" s="731">
        <v>33.36</v>
      </c>
    </row>
    <row r="409" spans="35:36" ht="15" x14ac:dyDescent="0.2">
      <c r="AI409" s="730">
        <v>0.95950000000000502</v>
      </c>
      <c r="AJ409" s="731">
        <v>33.44</v>
      </c>
    </row>
    <row r="410" spans="35:36" ht="15" x14ac:dyDescent="0.2">
      <c r="AI410" s="730">
        <v>0.95940000000000503</v>
      </c>
      <c r="AJ410" s="731">
        <v>33.51</v>
      </c>
    </row>
    <row r="411" spans="35:36" ht="15" x14ac:dyDescent="0.2">
      <c r="AI411" s="730">
        <v>0.95930000000000504</v>
      </c>
      <c r="AJ411" s="731">
        <v>33.590000000000003</v>
      </c>
    </row>
    <row r="412" spans="35:36" ht="15" x14ac:dyDescent="0.2">
      <c r="AI412" s="730">
        <v>0.95920000000000505</v>
      </c>
      <c r="AJ412" s="731">
        <v>33.659999999999997</v>
      </c>
    </row>
    <row r="413" spans="35:36" ht="15" x14ac:dyDescent="0.2">
      <c r="AI413" s="730">
        <v>0.95910000000000495</v>
      </c>
      <c r="AJ413" s="731">
        <v>33.729999999999997</v>
      </c>
    </row>
    <row r="414" spans="35:36" ht="15" x14ac:dyDescent="0.2">
      <c r="AI414" s="730">
        <v>0.95900000000000496</v>
      </c>
      <c r="AJ414" s="731">
        <v>33.799999999999997</v>
      </c>
    </row>
    <row r="415" spans="35:36" ht="15" x14ac:dyDescent="0.2">
      <c r="AI415" s="730">
        <v>0.95890000000000497</v>
      </c>
      <c r="AJ415" s="731">
        <v>33.880000000000003</v>
      </c>
    </row>
    <row r="416" spans="35:36" ht="15" x14ac:dyDescent="0.2">
      <c r="AI416" s="730">
        <v>0.95880000000000498</v>
      </c>
      <c r="AJ416" s="731">
        <v>33.950000000000003</v>
      </c>
    </row>
    <row r="417" spans="35:36" ht="15" x14ac:dyDescent="0.2">
      <c r="AI417" s="730">
        <v>0.95870000000000499</v>
      </c>
      <c r="AJ417" s="731">
        <v>34.020000000000003</v>
      </c>
    </row>
    <row r="418" spans="35:36" ht="15" x14ac:dyDescent="0.2">
      <c r="AI418" s="730">
        <v>0.958600000000005</v>
      </c>
      <c r="AJ418" s="731">
        <v>34.090000000000003</v>
      </c>
    </row>
    <row r="419" spans="35:36" ht="15" x14ac:dyDescent="0.2">
      <c r="AI419" s="730">
        <v>0.95850000000000501</v>
      </c>
      <c r="AJ419" s="731">
        <v>34.159999999999997</v>
      </c>
    </row>
    <row r="420" spans="35:36" ht="15" x14ac:dyDescent="0.2">
      <c r="AI420" s="730">
        <v>0.95840000000000503</v>
      </c>
      <c r="AJ420" s="731">
        <v>34.24</v>
      </c>
    </row>
    <row r="421" spans="35:36" ht="15" x14ac:dyDescent="0.2">
      <c r="AI421" s="730">
        <v>0.95830000000000504</v>
      </c>
      <c r="AJ421" s="731">
        <v>34.31</v>
      </c>
    </row>
    <row r="422" spans="35:36" ht="15" x14ac:dyDescent="0.2">
      <c r="AI422" s="730">
        <v>0.95820000000000505</v>
      </c>
      <c r="AJ422" s="731">
        <v>34.380000000000003</v>
      </c>
    </row>
    <row r="423" spans="35:36" ht="15" x14ac:dyDescent="0.2">
      <c r="AI423" s="730">
        <v>0.95810000000000495</v>
      </c>
      <c r="AJ423" s="731">
        <v>34.450000000000003</v>
      </c>
    </row>
    <row r="424" spans="35:36" ht="15" x14ac:dyDescent="0.2">
      <c r="AI424" s="730">
        <v>0.95800000000000496</v>
      </c>
      <c r="AJ424" s="731">
        <v>34.520000000000003</v>
      </c>
    </row>
    <row r="425" spans="35:36" ht="15" x14ac:dyDescent="0.2">
      <c r="AI425" s="730">
        <v>0.95790000000000497</v>
      </c>
      <c r="AJ425" s="731">
        <v>34.590000000000003</v>
      </c>
    </row>
    <row r="426" spans="35:36" ht="15" x14ac:dyDescent="0.2">
      <c r="AI426" s="730">
        <v>0.95780000000000498</v>
      </c>
      <c r="AJ426" s="731">
        <v>34.659999999999997</v>
      </c>
    </row>
    <row r="427" spans="35:36" ht="15" x14ac:dyDescent="0.2">
      <c r="AI427" s="730">
        <v>0.95770000000000499</v>
      </c>
      <c r="AJ427" s="731">
        <v>34.729999999999997</v>
      </c>
    </row>
    <row r="428" spans="35:36" ht="15" x14ac:dyDescent="0.2">
      <c r="AI428" s="730">
        <v>0.957600000000005</v>
      </c>
      <c r="AJ428" s="731">
        <v>34.799999999999997</v>
      </c>
    </row>
    <row r="429" spans="35:36" ht="15" x14ac:dyDescent="0.2">
      <c r="AI429" s="730">
        <v>0.95750000000000501</v>
      </c>
      <c r="AJ429" s="731">
        <v>34.880000000000003</v>
      </c>
    </row>
    <row r="430" spans="35:36" ht="15" x14ac:dyDescent="0.2">
      <c r="AI430" s="730">
        <v>0.95740000000000502</v>
      </c>
      <c r="AJ430" s="731">
        <v>34.950000000000003</v>
      </c>
    </row>
    <row r="431" spans="35:36" ht="15" x14ac:dyDescent="0.2">
      <c r="AI431" s="730">
        <v>0.95730000000000504</v>
      </c>
      <c r="AJ431" s="731">
        <v>35.020000000000003</v>
      </c>
    </row>
    <row r="432" spans="35:36" ht="15" x14ac:dyDescent="0.2">
      <c r="AI432" s="730">
        <v>0.95720000000000505</v>
      </c>
      <c r="AJ432" s="731">
        <v>35.090000000000003</v>
      </c>
    </row>
    <row r="433" spans="35:36" ht="15" x14ac:dyDescent="0.2">
      <c r="AI433" s="730">
        <v>0.95710000000000495</v>
      </c>
      <c r="AJ433" s="731">
        <v>35.159999999999997</v>
      </c>
    </row>
    <row r="434" spans="35:36" ht="15" x14ac:dyDescent="0.2">
      <c r="AI434" s="730">
        <v>0.95700000000000496</v>
      </c>
      <c r="AJ434" s="731">
        <v>35.229999999999997</v>
      </c>
    </row>
    <row r="435" spans="35:36" ht="15" x14ac:dyDescent="0.2">
      <c r="AI435" s="730">
        <v>0.95690000000000497</v>
      </c>
      <c r="AJ435" s="731">
        <v>35.299999999999997</v>
      </c>
    </row>
    <row r="436" spans="35:36" ht="15" x14ac:dyDescent="0.2">
      <c r="AI436" s="730">
        <v>0.95680000000000498</v>
      </c>
      <c r="AJ436" s="731">
        <v>35.369999999999997</v>
      </c>
    </row>
    <row r="437" spans="35:36" ht="15" x14ac:dyDescent="0.2">
      <c r="AI437" s="730">
        <v>0.95670000000000499</v>
      </c>
      <c r="AJ437" s="731">
        <v>35.43</v>
      </c>
    </row>
    <row r="438" spans="35:36" ht="15" x14ac:dyDescent="0.2">
      <c r="AI438" s="730">
        <v>0.956600000000005</v>
      </c>
      <c r="AJ438" s="731">
        <v>35.5</v>
      </c>
    </row>
    <row r="439" spans="35:36" ht="15" x14ac:dyDescent="0.2">
      <c r="AI439" s="730">
        <v>0.95650000000000501</v>
      </c>
      <c r="AJ439" s="731">
        <v>35.57</v>
      </c>
    </row>
    <row r="440" spans="35:36" ht="15" x14ac:dyDescent="0.2">
      <c r="AI440" s="730">
        <v>0.95640000000000502</v>
      </c>
      <c r="AJ440" s="731">
        <v>35.64</v>
      </c>
    </row>
    <row r="441" spans="35:36" ht="15" x14ac:dyDescent="0.2">
      <c r="AI441" s="730">
        <v>0.95630000000000503</v>
      </c>
      <c r="AJ441" s="731">
        <v>35.71</v>
      </c>
    </row>
    <row r="442" spans="35:36" ht="15" x14ac:dyDescent="0.2">
      <c r="AI442" s="730">
        <v>0.95620000000000505</v>
      </c>
      <c r="AJ442" s="731">
        <v>35.78</v>
      </c>
    </row>
    <row r="443" spans="35:36" ht="15" x14ac:dyDescent="0.2">
      <c r="AI443" s="730">
        <v>0.95610000000000495</v>
      </c>
      <c r="AJ443" s="731">
        <v>35.85</v>
      </c>
    </row>
    <row r="444" spans="35:36" ht="15" x14ac:dyDescent="0.2">
      <c r="AI444" s="730">
        <v>0.95600000000000496</v>
      </c>
      <c r="AJ444" s="731">
        <v>35.92</v>
      </c>
    </row>
    <row r="445" spans="35:36" ht="15" x14ac:dyDescent="0.2">
      <c r="AI445" s="730">
        <v>0.95590000000000497</v>
      </c>
      <c r="AJ445" s="731">
        <v>35.99</v>
      </c>
    </row>
    <row r="446" spans="35:36" ht="15" x14ac:dyDescent="0.2">
      <c r="AI446" s="730">
        <v>0.95580000000000498</v>
      </c>
      <c r="AJ446" s="731">
        <v>36.049999999999997</v>
      </c>
    </row>
    <row r="447" spans="35:36" ht="15" x14ac:dyDescent="0.2">
      <c r="AI447" s="730">
        <v>0.95570000000000499</v>
      </c>
      <c r="AJ447" s="731">
        <v>36.119999999999997</v>
      </c>
    </row>
    <row r="448" spans="35:36" ht="15" x14ac:dyDescent="0.2">
      <c r="AI448" s="730">
        <v>0.955600000000005</v>
      </c>
      <c r="AJ448" s="731">
        <v>36.19</v>
      </c>
    </row>
    <row r="449" spans="35:36" ht="15" x14ac:dyDescent="0.2">
      <c r="AI449" s="730">
        <v>0.95550000000000501</v>
      </c>
      <c r="AJ449" s="731">
        <v>36.26</v>
      </c>
    </row>
    <row r="450" spans="35:36" ht="15" x14ac:dyDescent="0.2">
      <c r="AI450" s="730">
        <v>0.95540000000000502</v>
      </c>
      <c r="AJ450" s="731">
        <v>36.33</v>
      </c>
    </row>
    <row r="451" spans="35:36" ht="15" x14ac:dyDescent="0.2">
      <c r="AI451" s="730">
        <v>0.95530000000000503</v>
      </c>
      <c r="AJ451" s="731">
        <v>36.39</v>
      </c>
    </row>
    <row r="452" spans="35:36" ht="15" x14ac:dyDescent="0.2">
      <c r="AI452" s="730">
        <v>0.95520000000000505</v>
      </c>
      <c r="AJ452" s="731">
        <v>36.46</v>
      </c>
    </row>
    <row r="453" spans="35:36" ht="15" x14ac:dyDescent="0.2">
      <c r="AI453" s="730">
        <v>0.95510000000000495</v>
      </c>
      <c r="AJ453" s="731">
        <v>36.53</v>
      </c>
    </row>
    <row r="454" spans="35:36" ht="15" x14ac:dyDescent="0.2">
      <c r="AI454" s="730">
        <v>0.95500000000000496</v>
      </c>
      <c r="AJ454" s="731">
        <v>36.6</v>
      </c>
    </row>
    <row r="455" spans="35:36" ht="15" x14ac:dyDescent="0.2">
      <c r="AI455" s="730">
        <v>0.95490000000000497</v>
      </c>
      <c r="AJ455" s="731">
        <v>36.659999999999997</v>
      </c>
    </row>
    <row r="456" spans="35:36" ht="15" x14ac:dyDescent="0.2">
      <c r="AI456" s="730">
        <v>0.95480000000000498</v>
      </c>
      <c r="AJ456" s="731">
        <v>36.729999999999997</v>
      </c>
    </row>
    <row r="457" spans="35:36" ht="15" x14ac:dyDescent="0.2">
      <c r="AI457" s="730">
        <v>0.95470000000000499</v>
      </c>
      <c r="AJ457" s="731">
        <v>36.799999999999997</v>
      </c>
    </row>
    <row r="458" spans="35:36" ht="15" x14ac:dyDescent="0.2">
      <c r="AI458" s="730">
        <v>0.954600000000005</v>
      </c>
      <c r="AJ458" s="731">
        <v>36.869999999999997</v>
      </c>
    </row>
    <row r="459" spans="35:36" ht="15" x14ac:dyDescent="0.2">
      <c r="AI459" s="730">
        <v>0.95450000000000501</v>
      </c>
      <c r="AJ459" s="731">
        <v>36.93</v>
      </c>
    </row>
    <row r="460" spans="35:36" ht="15" x14ac:dyDescent="0.2">
      <c r="AI460" s="730">
        <v>0.95440000000000502</v>
      </c>
      <c r="AJ460" s="731">
        <v>37</v>
      </c>
    </row>
    <row r="461" spans="35:36" ht="15" x14ac:dyDescent="0.2">
      <c r="AI461" s="730">
        <v>0.95430000000000503</v>
      </c>
      <c r="AJ461" s="731">
        <v>37.07</v>
      </c>
    </row>
    <row r="462" spans="35:36" ht="15" x14ac:dyDescent="0.2">
      <c r="AI462" s="730">
        <v>0.95420000000000504</v>
      </c>
      <c r="AJ462" s="731">
        <v>37.130000000000003</v>
      </c>
    </row>
    <row r="463" spans="35:36" ht="15" x14ac:dyDescent="0.2">
      <c r="AI463" s="730">
        <v>0.95410000000000506</v>
      </c>
      <c r="AJ463" s="731">
        <v>37.200000000000003</v>
      </c>
    </row>
    <row r="464" spans="35:36" ht="15" x14ac:dyDescent="0.2">
      <c r="AI464" s="730">
        <v>0.95400000000000595</v>
      </c>
      <c r="AJ464" s="731">
        <v>37.270000000000003</v>
      </c>
    </row>
    <row r="465" spans="35:36" ht="15" x14ac:dyDescent="0.2">
      <c r="AI465" s="730">
        <v>0.95390000000000597</v>
      </c>
      <c r="AJ465" s="731">
        <v>37.33</v>
      </c>
    </row>
    <row r="466" spans="35:36" ht="15" x14ac:dyDescent="0.2">
      <c r="AI466" s="730">
        <v>0.95380000000000598</v>
      </c>
      <c r="AJ466" s="731">
        <v>37.4</v>
      </c>
    </row>
    <row r="467" spans="35:36" ht="15" x14ac:dyDescent="0.2">
      <c r="AI467" s="730">
        <v>0.95370000000000599</v>
      </c>
      <c r="AJ467" s="731">
        <v>37.46</v>
      </c>
    </row>
    <row r="468" spans="35:36" ht="15" x14ac:dyDescent="0.2">
      <c r="AI468" s="730">
        <v>0.953600000000006</v>
      </c>
      <c r="AJ468" s="731">
        <v>37.53</v>
      </c>
    </row>
    <row r="469" spans="35:36" ht="15" x14ac:dyDescent="0.2">
      <c r="AI469" s="730">
        <v>0.95350000000000601</v>
      </c>
      <c r="AJ469" s="731">
        <v>37.6</v>
      </c>
    </row>
    <row r="470" spans="35:36" ht="15" x14ac:dyDescent="0.2">
      <c r="AI470" s="730">
        <v>0.95340000000000602</v>
      </c>
      <c r="AJ470" s="731">
        <v>37.659999999999997</v>
      </c>
    </row>
    <row r="471" spans="35:36" ht="15" x14ac:dyDescent="0.2">
      <c r="AI471" s="730">
        <v>0.95330000000000603</v>
      </c>
      <c r="AJ471" s="731">
        <v>37.729999999999997</v>
      </c>
    </row>
    <row r="472" spans="35:36" ht="15" x14ac:dyDescent="0.2">
      <c r="AI472" s="730">
        <v>0.95320000000000604</v>
      </c>
      <c r="AJ472" s="731">
        <v>37.79</v>
      </c>
    </row>
    <row r="473" spans="35:36" ht="15" x14ac:dyDescent="0.2">
      <c r="AI473" s="730">
        <v>0.95310000000000605</v>
      </c>
      <c r="AJ473" s="731">
        <v>37.86</v>
      </c>
    </row>
    <row r="474" spans="35:36" ht="15" x14ac:dyDescent="0.2">
      <c r="AI474" s="730">
        <v>0.95300000000000595</v>
      </c>
      <c r="AJ474" s="731">
        <v>37.92</v>
      </c>
    </row>
    <row r="475" spans="35:36" ht="15" x14ac:dyDescent="0.2">
      <c r="AI475" s="730">
        <v>0.95290000000000596</v>
      </c>
      <c r="AJ475" s="731">
        <v>37.99</v>
      </c>
    </row>
    <row r="476" spans="35:36" ht="15" x14ac:dyDescent="0.2">
      <c r="AI476" s="730">
        <v>0.95280000000000598</v>
      </c>
      <c r="AJ476" s="731">
        <v>38.049999999999997</v>
      </c>
    </row>
    <row r="477" spans="35:36" ht="15" x14ac:dyDescent="0.2">
      <c r="AI477" s="730">
        <v>0.95270000000000599</v>
      </c>
      <c r="AJ477" s="731">
        <v>38.119999999999997</v>
      </c>
    </row>
    <row r="478" spans="35:36" ht="15" x14ac:dyDescent="0.2">
      <c r="AI478" s="730">
        <v>0.952600000000006</v>
      </c>
      <c r="AJ478" s="731">
        <v>38.18</v>
      </c>
    </row>
    <row r="479" spans="35:36" ht="15" x14ac:dyDescent="0.2">
      <c r="AI479" s="730">
        <v>0.95250000000000601</v>
      </c>
      <c r="AJ479" s="731">
        <v>38.25</v>
      </c>
    </row>
    <row r="480" spans="35:36" ht="15" x14ac:dyDescent="0.2">
      <c r="AI480" s="730">
        <v>0.95240000000000602</v>
      </c>
      <c r="AJ480" s="731">
        <v>38.31</v>
      </c>
    </row>
    <row r="481" spans="35:36" ht="15" x14ac:dyDescent="0.2">
      <c r="AI481" s="730">
        <v>0.95230000000000603</v>
      </c>
      <c r="AJ481" s="731">
        <v>38.380000000000003</v>
      </c>
    </row>
    <row r="482" spans="35:36" ht="15" x14ac:dyDescent="0.2">
      <c r="AI482" s="730">
        <v>0.95220000000000604</v>
      </c>
      <c r="AJ482" s="731">
        <v>38.44</v>
      </c>
    </row>
    <row r="483" spans="35:36" ht="15" x14ac:dyDescent="0.2">
      <c r="AI483" s="730">
        <v>0.95210000000000605</v>
      </c>
      <c r="AJ483" s="731">
        <v>38.51</v>
      </c>
    </row>
    <row r="484" spans="35:36" ht="15" x14ac:dyDescent="0.2">
      <c r="AI484" s="730">
        <v>0.95200000000000595</v>
      </c>
      <c r="AJ484" s="731">
        <v>38.57</v>
      </c>
    </row>
    <row r="485" spans="35:36" ht="15" x14ac:dyDescent="0.2">
      <c r="AI485" s="730">
        <v>0.95190000000000596</v>
      </c>
      <c r="AJ485" s="731">
        <v>38.630000000000003</v>
      </c>
    </row>
    <row r="486" spans="35:36" ht="15" x14ac:dyDescent="0.2">
      <c r="AI486" s="730">
        <v>0.95180000000000597</v>
      </c>
      <c r="AJ486" s="731">
        <v>38.700000000000003</v>
      </c>
    </row>
    <row r="487" spans="35:36" ht="15" x14ac:dyDescent="0.2">
      <c r="AI487" s="730">
        <v>0.95170000000000599</v>
      </c>
      <c r="AJ487" s="731">
        <v>38.76</v>
      </c>
    </row>
    <row r="488" spans="35:36" ht="15" x14ac:dyDescent="0.2">
      <c r="AI488" s="730">
        <v>0.951600000000006</v>
      </c>
      <c r="AJ488" s="731">
        <v>38.83</v>
      </c>
    </row>
    <row r="489" spans="35:36" ht="15" x14ac:dyDescent="0.2">
      <c r="AI489" s="730">
        <v>0.95150000000000601</v>
      </c>
      <c r="AJ489" s="731">
        <v>38.89</v>
      </c>
    </row>
    <row r="490" spans="35:36" ht="15" x14ac:dyDescent="0.2">
      <c r="AI490" s="730">
        <v>0.95140000000000602</v>
      </c>
      <c r="AJ490" s="731">
        <v>38.950000000000003</v>
      </c>
    </row>
    <row r="491" spans="35:36" ht="15" x14ac:dyDescent="0.2">
      <c r="AI491" s="730">
        <v>0.95130000000000603</v>
      </c>
      <c r="AJ491" s="731">
        <v>39.020000000000003</v>
      </c>
    </row>
    <row r="492" spans="35:36" ht="15" x14ac:dyDescent="0.2">
      <c r="AI492" s="730">
        <v>0.95120000000000604</v>
      </c>
      <c r="AJ492" s="731">
        <v>39.08</v>
      </c>
    </row>
    <row r="493" spans="35:36" ht="15" x14ac:dyDescent="0.2">
      <c r="AI493" s="730">
        <v>0.95110000000000605</v>
      </c>
      <c r="AJ493" s="731">
        <v>39.14</v>
      </c>
    </row>
    <row r="494" spans="35:36" ht="15" x14ac:dyDescent="0.2">
      <c r="AI494" s="730">
        <v>0.95100000000000595</v>
      </c>
      <c r="AJ494" s="731">
        <v>39.21</v>
      </c>
    </row>
    <row r="495" spans="35:36" ht="15" x14ac:dyDescent="0.2">
      <c r="AI495" s="730">
        <v>0.95090000000000596</v>
      </c>
      <c r="AJ495" s="731">
        <v>39.270000000000003</v>
      </c>
    </row>
    <row r="496" spans="35:36" ht="15" x14ac:dyDescent="0.2">
      <c r="AI496" s="730">
        <v>0.95080000000000597</v>
      </c>
      <c r="AJ496" s="731">
        <v>39.33</v>
      </c>
    </row>
    <row r="497" spans="35:36" ht="15" x14ac:dyDescent="0.2">
      <c r="AI497" s="730">
        <v>0.95070000000000598</v>
      </c>
      <c r="AJ497" s="731">
        <v>39.4</v>
      </c>
    </row>
    <row r="498" spans="35:36" ht="15" x14ac:dyDescent="0.2">
      <c r="AI498" s="730">
        <v>0.950600000000006</v>
      </c>
      <c r="AJ498" s="731">
        <v>39.46</v>
      </c>
    </row>
    <row r="499" spans="35:36" ht="15" x14ac:dyDescent="0.2">
      <c r="AI499" s="730">
        <v>0.95050000000000601</v>
      </c>
      <c r="AJ499" s="731">
        <v>39.520000000000003</v>
      </c>
    </row>
    <row r="500" spans="35:36" ht="15" x14ac:dyDescent="0.2">
      <c r="AI500" s="730">
        <v>0.95040000000000602</v>
      </c>
      <c r="AJ500" s="731">
        <v>39.58</v>
      </c>
    </row>
    <row r="501" spans="35:36" ht="15" x14ac:dyDescent="0.2">
      <c r="AI501" s="730">
        <v>0.95030000000000603</v>
      </c>
      <c r="AJ501" s="731">
        <v>39.65</v>
      </c>
    </row>
    <row r="502" spans="35:36" ht="15" x14ac:dyDescent="0.2">
      <c r="AI502" s="730">
        <v>0.95020000000000604</v>
      </c>
      <c r="AJ502" s="731">
        <v>39.71</v>
      </c>
    </row>
    <row r="503" spans="35:36" ht="15" x14ac:dyDescent="0.2">
      <c r="AI503" s="730">
        <v>0.95010000000000605</v>
      </c>
      <c r="AJ503" s="731">
        <v>39.770000000000003</v>
      </c>
    </row>
    <row r="504" spans="35:36" ht="15" x14ac:dyDescent="0.2">
      <c r="AI504" s="730">
        <v>0.95000000000000595</v>
      </c>
      <c r="AJ504" s="731">
        <v>39.83</v>
      </c>
    </row>
    <row r="505" spans="35:36" ht="15" x14ac:dyDescent="0.2">
      <c r="AI505" s="730">
        <v>0.94990000000000596</v>
      </c>
      <c r="AJ505" s="731">
        <v>39.9</v>
      </c>
    </row>
    <row r="506" spans="35:36" ht="15" x14ac:dyDescent="0.2">
      <c r="AI506" s="730">
        <v>0.94980000000000597</v>
      </c>
      <c r="AJ506" s="731">
        <v>39.96</v>
      </c>
    </row>
    <row r="507" spans="35:36" ht="15" x14ac:dyDescent="0.2">
      <c r="AI507" s="730">
        <v>0.94970000000000598</v>
      </c>
      <c r="AJ507" s="731">
        <v>40.020000000000003</v>
      </c>
    </row>
    <row r="508" spans="35:36" ht="15" x14ac:dyDescent="0.2">
      <c r="AI508" s="730">
        <v>0.94960000000000599</v>
      </c>
      <c r="AJ508" s="731">
        <v>40.08</v>
      </c>
    </row>
    <row r="509" spans="35:36" ht="15" x14ac:dyDescent="0.2">
      <c r="AI509" s="730">
        <v>0.94950000000000601</v>
      </c>
      <c r="AJ509" s="731">
        <v>40.15</v>
      </c>
    </row>
    <row r="510" spans="35:36" ht="15" x14ac:dyDescent="0.2">
      <c r="AI510" s="730">
        <v>0.94940000000000602</v>
      </c>
      <c r="AJ510" s="731">
        <v>40.21</v>
      </c>
    </row>
    <row r="511" spans="35:36" ht="15" x14ac:dyDescent="0.2">
      <c r="AI511" s="730">
        <v>0.94930000000000603</v>
      </c>
      <c r="AJ511" s="731">
        <v>40.270000000000003</v>
      </c>
    </row>
    <row r="512" spans="35:36" ht="15" x14ac:dyDescent="0.2">
      <c r="AI512" s="730">
        <v>0.94920000000000604</v>
      </c>
      <c r="AJ512" s="731">
        <v>40.33</v>
      </c>
    </row>
    <row r="513" spans="35:36" ht="15" x14ac:dyDescent="0.2">
      <c r="AI513" s="730">
        <v>0.94910000000000605</v>
      </c>
      <c r="AJ513" s="731">
        <v>40.39</v>
      </c>
    </row>
    <row r="514" spans="35:36" ht="15" x14ac:dyDescent="0.2">
      <c r="AI514" s="730">
        <v>0.94900000000000595</v>
      </c>
      <c r="AJ514" s="731">
        <v>40.46</v>
      </c>
    </row>
    <row r="515" spans="35:36" ht="15" x14ac:dyDescent="0.2">
      <c r="AI515" s="730">
        <v>0.94890000000000596</v>
      </c>
      <c r="AJ515" s="731">
        <v>40.520000000000003</v>
      </c>
    </row>
    <row r="516" spans="35:36" ht="15" x14ac:dyDescent="0.2">
      <c r="AI516" s="730">
        <v>0.94880000000000597</v>
      </c>
      <c r="AJ516" s="731">
        <v>40.58</v>
      </c>
    </row>
    <row r="517" spans="35:36" ht="15" x14ac:dyDescent="0.2">
      <c r="AI517" s="730">
        <v>0.94870000000000598</v>
      </c>
      <c r="AJ517" s="731">
        <v>40.64</v>
      </c>
    </row>
    <row r="518" spans="35:36" ht="15" x14ac:dyDescent="0.2">
      <c r="AI518" s="730">
        <v>0.94860000000000599</v>
      </c>
      <c r="AJ518" s="731">
        <v>40.700000000000003</v>
      </c>
    </row>
    <row r="519" spans="35:36" ht="15" x14ac:dyDescent="0.2">
      <c r="AI519" s="730">
        <v>0.948500000000006</v>
      </c>
      <c r="AJ519" s="731">
        <v>40.76</v>
      </c>
    </row>
    <row r="520" spans="35:36" ht="15" x14ac:dyDescent="0.2">
      <c r="AI520" s="730">
        <v>0.94840000000000602</v>
      </c>
      <c r="AJ520" s="731">
        <v>40.82</v>
      </c>
    </row>
    <row r="521" spans="35:36" ht="15" x14ac:dyDescent="0.2">
      <c r="AI521" s="730">
        <v>0.94830000000000603</v>
      </c>
      <c r="AJ521" s="731">
        <v>40.880000000000003</v>
      </c>
    </row>
    <row r="522" spans="35:36" ht="15" x14ac:dyDescent="0.2">
      <c r="AI522" s="730">
        <v>0.94820000000000604</v>
      </c>
      <c r="AJ522" s="731">
        <v>40.950000000000003</v>
      </c>
    </row>
    <row r="523" spans="35:36" ht="15" x14ac:dyDescent="0.2">
      <c r="AI523" s="730">
        <v>0.94810000000000605</v>
      </c>
      <c r="AJ523" s="731">
        <v>41.01</v>
      </c>
    </row>
    <row r="524" spans="35:36" ht="15" x14ac:dyDescent="0.2">
      <c r="AI524" s="730">
        <v>0.94800000000000595</v>
      </c>
      <c r="AJ524" s="731">
        <v>41.07</v>
      </c>
    </row>
    <row r="525" spans="35:36" ht="15" x14ac:dyDescent="0.2">
      <c r="AI525" s="730">
        <v>0.94790000000000596</v>
      </c>
      <c r="AJ525" s="731">
        <v>41.13</v>
      </c>
    </row>
    <row r="526" spans="35:36" ht="15" x14ac:dyDescent="0.2">
      <c r="AI526" s="730">
        <v>0.94780000000000597</v>
      </c>
      <c r="AJ526" s="731">
        <v>41.19</v>
      </c>
    </row>
    <row r="527" spans="35:36" ht="15" x14ac:dyDescent="0.2">
      <c r="AI527" s="730">
        <v>0.94770000000000598</v>
      </c>
      <c r="AJ527" s="731">
        <v>41.25</v>
      </c>
    </row>
    <row r="528" spans="35:36" ht="15" x14ac:dyDescent="0.2">
      <c r="AI528" s="730">
        <v>0.94760000000000599</v>
      </c>
      <c r="AJ528" s="731">
        <v>41.31</v>
      </c>
    </row>
    <row r="529" spans="35:36" ht="15" x14ac:dyDescent="0.2">
      <c r="AI529" s="730">
        <v>0.947500000000006</v>
      </c>
      <c r="AJ529" s="731">
        <v>41.37</v>
      </c>
    </row>
    <row r="530" spans="35:36" ht="15" x14ac:dyDescent="0.2">
      <c r="AI530" s="730">
        <v>0.94740000000000602</v>
      </c>
      <c r="AJ530" s="731">
        <v>41.43</v>
      </c>
    </row>
    <row r="531" spans="35:36" ht="15" x14ac:dyDescent="0.2">
      <c r="AI531" s="730">
        <v>0.94730000000000603</v>
      </c>
      <c r="AJ531" s="731">
        <v>41.49</v>
      </c>
    </row>
    <row r="532" spans="35:36" ht="15" x14ac:dyDescent="0.2">
      <c r="AI532" s="730">
        <v>0.94720000000000604</v>
      </c>
      <c r="AJ532" s="731">
        <v>41.55</v>
      </c>
    </row>
    <row r="533" spans="35:36" ht="15" x14ac:dyDescent="0.2">
      <c r="AI533" s="730">
        <v>0.94710000000000605</v>
      </c>
      <c r="AJ533" s="731">
        <v>41.61</v>
      </c>
    </row>
    <row r="534" spans="35:36" ht="15" x14ac:dyDescent="0.2">
      <c r="AI534" s="730">
        <v>0.94700000000000595</v>
      </c>
      <c r="AJ534" s="731">
        <v>41.67</v>
      </c>
    </row>
    <row r="535" spans="35:36" ht="15" x14ac:dyDescent="0.2">
      <c r="AI535" s="730">
        <v>0.94690000000000596</v>
      </c>
      <c r="AJ535" s="731">
        <v>41.73</v>
      </c>
    </row>
    <row r="536" spans="35:36" ht="15" x14ac:dyDescent="0.2">
      <c r="AI536" s="730">
        <v>0.94680000000000597</v>
      </c>
      <c r="AJ536" s="731">
        <v>41.79</v>
      </c>
    </row>
    <row r="537" spans="35:36" ht="15" x14ac:dyDescent="0.2">
      <c r="AI537" s="730">
        <v>0.94670000000000598</v>
      </c>
      <c r="AJ537" s="731">
        <v>41.85</v>
      </c>
    </row>
    <row r="538" spans="35:36" ht="15" x14ac:dyDescent="0.2">
      <c r="AI538" s="730">
        <v>0.94660000000000599</v>
      </c>
      <c r="AJ538" s="731">
        <v>41.91</v>
      </c>
    </row>
    <row r="539" spans="35:36" ht="15" x14ac:dyDescent="0.2">
      <c r="AI539" s="730">
        <v>0.946500000000006</v>
      </c>
      <c r="AJ539" s="731">
        <v>41.79</v>
      </c>
    </row>
    <row r="540" spans="35:36" ht="15" x14ac:dyDescent="0.2">
      <c r="AI540" s="730">
        <v>0.94640000000000601</v>
      </c>
      <c r="AJ540" s="731">
        <v>42.03</v>
      </c>
    </row>
    <row r="541" spans="35:36" ht="15" x14ac:dyDescent="0.2">
      <c r="AI541" s="730">
        <v>0.94630000000000603</v>
      </c>
      <c r="AJ541" s="731">
        <v>42.09</v>
      </c>
    </row>
    <row r="542" spans="35:36" ht="15" x14ac:dyDescent="0.2">
      <c r="AI542" s="730">
        <v>0.94620000000000604</v>
      </c>
      <c r="AJ542" s="731">
        <v>42.15</v>
      </c>
    </row>
    <row r="543" spans="35:36" ht="15" x14ac:dyDescent="0.2">
      <c r="AI543" s="730">
        <v>0.94610000000000605</v>
      </c>
      <c r="AJ543" s="731">
        <v>42.21</v>
      </c>
    </row>
    <row r="544" spans="35:36" ht="15" x14ac:dyDescent="0.2">
      <c r="AI544" s="730">
        <v>0.94600000000000595</v>
      </c>
      <c r="AJ544" s="731">
        <v>42.27</v>
      </c>
    </row>
    <row r="545" spans="35:36" ht="15" x14ac:dyDescent="0.2">
      <c r="AI545" s="730">
        <v>0.94590000000000596</v>
      </c>
      <c r="AJ545" s="731">
        <v>42.32</v>
      </c>
    </row>
    <row r="546" spans="35:36" ht="15" x14ac:dyDescent="0.2">
      <c r="AI546" s="730">
        <v>0.94580000000000597</v>
      </c>
      <c r="AJ546" s="731">
        <v>42.38</v>
      </c>
    </row>
    <row r="547" spans="35:36" ht="15" x14ac:dyDescent="0.2">
      <c r="AI547" s="730">
        <v>0.94570000000000598</v>
      </c>
      <c r="AJ547" s="731">
        <v>42.44</v>
      </c>
    </row>
    <row r="548" spans="35:36" ht="15" x14ac:dyDescent="0.2">
      <c r="AI548" s="730">
        <v>0.94560000000000599</v>
      </c>
      <c r="AJ548" s="731">
        <v>42.5</v>
      </c>
    </row>
    <row r="549" spans="35:36" ht="15" x14ac:dyDescent="0.2">
      <c r="AI549" s="730">
        <v>0.945500000000006</v>
      </c>
      <c r="AJ549" s="731">
        <v>42.56</v>
      </c>
    </row>
    <row r="550" spans="35:36" ht="15" x14ac:dyDescent="0.2">
      <c r="AI550" s="730">
        <v>0.94540000000000601</v>
      </c>
      <c r="AJ550" s="731">
        <v>42.62</v>
      </c>
    </row>
    <row r="551" spans="35:36" ht="15" x14ac:dyDescent="0.2">
      <c r="AI551" s="730">
        <v>0.94530000000000602</v>
      </c>
      <c r="AJ551" s="731">
        <v>42.68</v>
      </c>
    </row>
    <row r="552" spans="35:36" ht="15" x14ac:dyDescent="0.2">
      <c r="AI552" s="730">
        <v>0.94520000000000604</v>
      </c>
      <c r="AJ552" s="731">
        <v>42.74</v>
      </c>
    </row>
    <row r="553" spans="35:36" ht="15" x14ac:dyDescent="0.2">
      <c r="AI553" s="730">
        <v>0.94510000000000605</v>
      </c>
      <c r="AJ553" s="731">
        <v>42.8</v>
      </c>
    </row>
    <row r="554" spans="35:36" ht="15" x14ac:dyDescent="0.2">
      <c r="AI554" s="730">
        <v>0.94500000000000695</v>
      </c>
      <c r="AJ554" s="731">
        <v>42.85</v>
      </c>
    </row>
    <row r="555" spans="35:36" ht="15" x14ac:dyDescent="0.2">
      <c r="AI555" s="730">
        <v>0.94490000000000696</v>
      </c>
      <c r="AJ555" s="731">
        <v>42.91</v>
      </c>
    </row>
    <row r="556" spans="35:36" ht="15" x14ac:dyDescent="0.2">
      <c r="AI556" s="730">
        <v>0.94480000000000697</v>
      </c>
      <c r="AJ556" s="731">
        <v>42.97</v>
      </c>
    </row>
    <row r="557" spans="35:36" ht="15" x14ac:dyDescent="0.2">
      <c r="AI557" s="730">
        <v>0.94470000000000698</v>
      </c>
      <c r="AJ557" s="731">
        <v>43.03</v>
      </c>
    </row>
    <row r="558" spans="35:36" ht="15" x14ac:dyDescent="0.2">
      <c r="AI558" s="730">
        <v>0.94460000000000699</v>
      </c>
      <c r="AJ558" s="731">
        <v>43.09</v>
      </c>
    </row>
    <row r="559" spans="35:36" ht="15" x14ac:dyDescent="0.2">
      <c r="AI559" s="730">
        <v>0.944500000000007</v>
      </c>
      <c r="AJ559" s="731">
        <v>43.15</v>
      </c>
    </row>
    <row r="560" spans="35:36" ht="15" x14ac:dyDescent="0.2">
      <c r="AI560" s="730">
        <v>0.94440000000000701</v>
      </c>
      <c r="AJ560" s="731">
        <v>43.2</v>
      </c>
    </row>
    <row r="561" spans="35:36" ht="15" x14ac:dyDescent="0.2">
      <c r="AI561" s="730">
        <v>0.94430000000000702</v>
      </c>
      <c r="AJ561" s="731">
        <v>43.26</v>
      </c>
    </row>
    <row r="562" spans="35:36" ht="15" x14ac:dyDescent="0.2">
      <c r="AI562" s="730">
        <v>0.94420000000000703</v>
      </c>
      <c r="AJ562" s="731">
        <v>43.32</v>
      </c>
    </row>
    <row r="563" spans="35:36" ht="15" x14ac:dyDescent="0.2">
      <c r="AI563" s="730">
        <v>0.94410000000000704</v>
      </c>
      <c r="AJ563" s="731">
        <v>43.38</v>
      </c>
    </row>
    <row r="564" spans="35:36" ht="15" x14ac:dyDescent="0.2">
      <c r="AI564" s="730">
        <v>0.94400000000000694</v>
      </c>
      <c r="AJ564" s="731">
        <v>43.43</v>
      </c>
    </row>
    <row r="565" spans="35:36" ht="15" x14ac:dyDescent="0.2">
      <c r="AI565" s="730">
        <v>0.94390000000000696</v>
      </c>
      <c r="AJ565" s="731">
        <v>43.49</v>
      </c>
    </row>
    <row r="566" spans="35:36" ht="15" x14ac:dyDescent="0.2">
      <c r="AI566" s="730">
        <v>0.94380000000000697</v>
      </c>
      <c r="AJ566" s="731">
        <v>43.55</v>
      </c>
    </row>
    <row r="567" spans="35:36" ht="15" x14ac:dyDescent="0.2">
      <c r="AI567" s="730">
        <v>0.94370000000000698</v>
      </c>
      <c r="AJ567" s="731">
        <v>43.61</v>
      </c>
    </row>
    <row r="568" spans="35:36" ht="15" x14ac:dyDescent="0.2">
      <c r="AI568" s="730">
        <v>0.94360000000000699</v>
      </c>
      <c r="AJ568" s="731">
        <v>43.66</v>
      </c>
    </row>
    <row r="569" spans="35:36" ht="15" x14ac:dyDescent="0.2">
      <c r="AI569" s="730">
        <v>0.943500000000007</v>
      </c>
      <c r="AJ569" s="731">
        <v>43.72</v>
      </c>
    </row>
    <row r="570" spans="35:36" ht="15" x14ac:dyDescent="0.2">
      <c r="AI570" s="730">
        <v>0.94340000000000701</v>
      </c>
      <c r="AJ570" s="731">
        <v>43.78</v>
      </c>
    </row>
    <row r="571" spans="35:36" ht="15" x14ac:dyDescent="0.2">
      <c r="AI571" s="730">
        <v>0.94330000000000702</v>
      </c>
      <c r="AJ571" s="731">
        <v>43.84</v>
      </c>
    </row>
    <row r="572" spans="35:36" ht="15" x14ac:dyDescent="0.2">
      <c r="AI572" s="730">
        <v>0.94320000000000703</v>
      </c>
      <c r="AJ572" s="731">
        <v>43.89</v>
      </c>
    </row>
    <row r="573" spans="35:36" ht="15" x14ac:dyDescent="0.2">
      <c r="AI573" s="730">
        <v>0.94310000000000704</v>
      </c>
      <c r="AJ573" s="731">
        <v>43.95</v>
      </c>
    </row>
    <row r="574" spans="35:36" ht="15" x14ac:dyDescent="0.2">
      <c r="AI574" s="730">
        <v>0.94300000000000705</v>
      </c>
      <c r="AJ574" s="731">
        <v>44.01</v>
      </c>
    </row>
    <row r="575" spans="35:36" ht="15" x14ac:dyDescent="0.2">
      <c r="AI575" s="730">
        <v>0.94290000000000695</v>
      </c>
      <c r="AJ575" s="731">
        <v>44.06</v>
      </c>
    </row>
    <row r="576" spans="35:36" ht="15" x14ac:dyDescent="0.2">
      <c r="AI576" s="730">
        <v>0.94280000000000697</v>
      </c>
      <c r="AJ576" s="731">
        <v>44.12</v>
      </c>
    </row>
    <row r="577" spans="35:36" ht="15" x14ac:dyDescent="0.2">
      <c r="AI577" s="730">
        <v>0.94270000000000698</v>
      </c>
      <c r="AJ577" s="731">
        <v>44.18</v>
      </c>
    </row>
    <row r="578" spans="35:36" ht="15" x14ac:dyDescent="0.2">
      <c r="AI578" s="730">
        <v>0.94260000000000699</v>
      </c>
      <c r="AJ578" s="731">
        <v>44.23</v>
      </c>
    </row>
    <row r="579" spans="35:36" ht="15" x14ac:dyDescent="0.2">
      <c r="AI579" s="730">
        <v>0.942500000000007</v>
      </c>
      <c r="AJ579" s="731">
        <v>44.29</v>
      </c>
    </row>
    <row r="580" spans="35:36" ht="15" x14ac:dyDescent="0.2">
      <c r="AI580" s="730">
        <v>0.94240000000000701</v>
      </c>
      <c r="AJ580" s="731">
        <v>44.35</v>
      </c>
    </row>
    <row r="581" spans="35:36" ht="15" x14ac:dyDescent="0.2">
      <c r="AI581" s="730">
        <v>0.94230000000000702</v>
      </c>
      <c r="AJ581" s="731">
        <v>44.4</v>
      </c>
    </row>
    <row r="582" spans="35:36" ht="15" x14ac:dyDescent="0.2">
      <c r="AI582" s="730">
        <v>0.94220000000000703</v>
      </c>
      <c r="AJ582" s="731">
        <v>44.46</v>
      </c>
    </row>
    <row r="583" spans="35:36" ht="15" x14ac:dyDescent="0.2">
      <c r="AI583" s="730">
        <v>0.94210000000000704</v>
      </c>
      <c r="AJ583" s="731">
        <v>44.52</v>
      </c>
    </row>
    <row r="584" spans="35:36" ht="15" x14ac:dyDescent="0.2">
      <c r="AI584" s="730">
        <v>0.94200000000000705</v>
      </c>
      <c r="AJ584" s="731">
        <v>44.57</v>
      </c>
    </row>
    <row r="585" spans="35:36" ht="15" x14ac:dyDescent="0.2">
      <c r="AI585" s="730">
        <v>0.94190000000000695</v>
      </c>
      <c r="AJ585" s="731">
        <v>44.63</v>
      </c>
    </row>
    <row r="586" spans="35:36" ht="15" x14ac:dyDescent="0.2">
      <c r="AI586" s="730">
        <v>0.94180000000000696</v>
      </c>
      <c r="AJ586" s="731">
        <v>44.69</v>
      </c>
    </row>
    <row r="587" spans="35:36" ht="15" x14ac:dyDescent="0.2">
      <c r="AI587" s="730">
        <v>0.94170000000000698</v>
      </c>
      <c r="AJ587" s="731">
        <v>44.74</v>
      </c>
    </row>
    <row r="588" spans="35:36" ht="15" x14ac:dyDescent="0.2">
      <c r="AI588" s="730">
        <v>0.94160000000000699</v>
      </c>
      <c r="AJ588" s="731">
        <v>44.8</v>
      </c>
    </row>
    <row r="589" spans="35:36" ht="15" x14ac:dyDescent="0.2">
      <c r="AI589" s="730">
        <v>0.941500000000007</v>
      </c>
      <c r="AJ589" s="731">
        <v>44.86</v>
      </c>
    </row>
    <row r="590" spans="35:36" ht="15" x14ac:dyDescent="0.2">
      <c r="AI590" s="730">
        <v>0.94140000000000701</v>
      </c>
      <c r="AJ590" s="731">
        <v>44.91</v>
      </c>
    </row>
    <row r="591" spans="35:36" ht="15" x14ac:dyDescent="0.2">
      <c r="AI591" s="730">
        <v>0.94130000000000702</v>
      </c>
      <c r="AJ591" s="731">
        <v>44.97</v>
      </c>
    </row>
    <row r="592" spans="35:36" ht="15" x14ac:dyDescent="0.2">
      <c r="AI592" s="730">
        <v>0.94120000000000703</v>
      </c>
      <c r="AJ592" s="731">
        <v>45.02</v>
      </c>
    </row>
    <row r="593" spans="35:36" ht="15" x14ac:dyDescent="0.2">
      <c r="AI593" s="730">
        <v>0.94110000000000704</v>
      </c>
      <c r="AJ593" s="731">
        <v>45.08</v>
      </c>
    </row>
    <row r="594" spans="35:36" ht="15" x14ac:dyDescent="0.2">
      <c r="AI594" s="730">
        <v>0.94100000000000705</v>
      </c>
      <c r="AJ594" s="731">
        <v>45.13</v>
      </c>
    </row>
    <row r="595" spans="35:36" ht="15" x14ac:dyDescent="0.2">
      <c r="AI595" s="730">
        <v>0.94090000000000695</v>
      </c>
      <c r="AJ595" s="731">
        <v>45.19</v>
      </c>
    </row>
    <row r="596" spans="35:36" ht="15" x14ac:dyDescent="0.2">
      <c r="AI596" s="730">
        <v>0.94080000000000696</v>
      </c>
      <c r="AJ596" s="731">
        <v>45.24</v>
      </c>
    </row>
    <row r="597" spans="35:36" ht="15" x14ac:dyDescent="0.2">
      <c r="AI597" s="730">
        <v>0.94070000000000698</v>
      </c>
      <c r="AJ597" s="731">
        <v>45.3</v>
      </c>
    </row>
    <row r="598" spans="35:36" ht="15" x14ac:dyDescent="0.2">
      <c r="AI598" s="730">
        <v>0.94060000000000699</v>
      </c>
      <c r="AJ598" s="731">
        <v>45.36</v>
      </c>
    </row>
    <row r="599" spans="35:36" ht="15" x14ac:dyDescent="0.2">
      <c r="AI599" s="730">
        <v>0.940500000000007</v>
      </c>
      <c r="AJ599" s="731">
        <v>45.41</v>
      </c>
    </row>
    <row r="600" spans="35:36" ht="15" x14ac:dyDescent="0.2">
      <c r="AI600" s="730">
        <v>0.94040000000000701</v>
      </c>
      <c r="AJ600" s="731">
        <v>45.47</v>
      </c>
    </row>
    <row r="601" spans="35:36" ht="15" x14ac:dyDescent="0.2">
      <c r="AI601" s="730">
        <v>0.94030000000000702</v>
      </c>
      <c r="AJ601" s="731">
        <v>45.52</v>
      </c>
    </row>
    <row r="602" spans="35:36" ht="15" x14ac:dyDescent="0.2">
      <c r="AI602" s="730">
        <v>0.94020000000000703</v>
      </c>
      <c r="AJ602" s="731">
        <v>45.58</v>
      </c>
    </row>
    <row r="603" spans="35:36" ht="15" x14ac:dyDescent="0.2">
      <c r="AI603" s="730">
        <v>0.94010000000000704</v>
      </c>
      <c r="AJ603" s="731">
        <v>45.63</v>
      </c>
    </row>
    <row r="604" spans="35:36" ht="15" x14ac:dyDescent="0.2">
      <c r="AI604" s="730">
        <v>0.94000000000000705</v>
      </c>
      <c r="AJ604" s="731">
        <v>45.69</v>
      </c>
    </row>
    <row r="605" spans="35:36" ht="15" x14ac:dyDescent="0.2">
      <c r="AI605" s="730">
        <v>0.93990000000000695</v>
      </c>
      <c r="AJ605" s="731">
        <v>45.74</v>
      </c>
    </row>
    <row r="606" spans="35:36" ht="15" x14ac:dyDescent="0.2">
      <c r="AI606" s="730">
        <v>0.93980000000000696</v>
      </c>
      <c r="AJ606" s="731">
        <v>45.8</v>
      </c>
    </row>
    <row r="607" spans="35:36" ht="15" x14ac:dyDescent="0.2">
      <c r="AI607" s="730">
        <v>0.93970000000000697</v>
      </c>
      <c r="AJ607" s="731">
        <v>45.85</v>
      </c>
    </row>
    <row r="608" spans="35:36" ht="15" x14ac:dyDescent="0.2">
      <c r="AI608" s="730">
        <v>0.93960000000000699</v>
      </c>
      <c r="AJ608" s="731">
        <v>45.9</v>
      </c>
    </row>
    <row r="609" spans="35:36" ht="15" x14ac:dyDescent="0.2">
      <c r="AI609" s="730">
        <v>0.939500000000007</v>
      </c>
      <c r="AJ609" s="731">
        <v>45.96</v>
      </c>
    </row>
    <row r="610" spans="35:36" ht="15" x14ac:dyDescent="0.2">
      <c r="AI610" s="730">
        <v>0.93940000000000701</v>
      </c>
      <c r="AJ610" s="731">
        <v>46.01</v>
      </c>
    </row>
    <row r="611" spans="35:36" ht="15" x14ac:dyDescent="0.2">
      <c r="AI611" s="730">
        <v>0.93930000000000702</v>
      </c>
      <c r="AJ611" s="731">
        <v>46.07</v>
      </c>
    </row>
    <row r="612" spans="35:36" ht="15" x14ac:dyDescent="0.2">
      <c r="AI612" s="730">
        <v>0.93920000000000703</v>
      </c>
      <c r="AJ612" s="731">
        <v>46.12</v>
      </c>
    </row>
    <row r="613" spans="35:36" ht="15" x14ac:dyDescent="0.2">
      <c r="AI613" s="730">
        <v>0.93910000000000704</v>
      </c>
      <c r="AJ613" s="731">
        <v>46.18</v>
      </c>
    </row>
    <row r="614" spans="35:36" ht="15" x14ac:dyDescent="0.2">
      <c r="AI614" s="730">
        <v>0.93900000000000705</v>
      </c>
      <c r="AJ614" s="731">
        <v>46.23</v>
      </c>
    </row>
    <row r="615" spans="35:36" ht="15" x14ac:dyDescent="0.2">
      <c r="AI615" s="730">
        <v>0.93890000000000695</v>
      </c>
      <c r="AJ615" s="731">
        <v>46.28</v>
      </c>
    </row>
    <row r="616" spans="35:36" ht="15" x14ac:dyDescent="0.2">
      <c r="AI616" s="730">
        <v>0.93880000000000696</v>
      </c>
      <c r="AJ616" s="731">
        <v>46.34</v>
      </c>
    </row>
    <row r="617" spans="35:36" ht="15" x14ac:dyDescent="0.2">
      <c r="AI617" s="730">
        <v>0.93870000000000697</v>
      </c>
      <c r="AJ617" s="731">
        <v>46.39</v>
      </c>
    </row>
    <row r="618" spans="35:36" ht="15" x14ac:dyDescent="0.2">
      <c r="AI618" s="730">
        <v>0.93860000000000698</v>
      </c>
      <c r="AJ618" s="731">
        <v>46.45</v>
      </c>
    </row>
    <row r="619" spans="35:36" ht="15" x14ac:dyDescent="0.2">
      <c r="AI619" s="730">
        <v>0.938500000000007</v>
      </c>
      <c r="AJ619" s="731">
        <v>46.5</v>
      </c>
    </row>
    <row r="620" spans="35:36" ht="15" x14ac:dyDescent="0.2">
      <c r="AI620" s="730">
        <v>0.93840000000000701</v>
      </c>
      <c r="AJ620" s="731">
        <v>46.55</v>
      </c>
    </row>
    <row r="621" spans="35:36" ht="15" x14ac:dyDescent="0.2">
      <c r="AI621" s="730">
        <v>0.93830000000000702</v>
      </c>
      <c r="AJ621" s="731">
        <v>46.61</v>
      </c>
    </row>
    <row r="622" spans="35:36" ht="15" x14ac:dyDescent="0.2">
      <c r="AI622" s="730">
        <v>0.93820000000000703</v>
      </c>
      <c r="AJ622" s="731">
        <v>46.66</v>
      </c>
    </row>
    <row r="623" spans="35:36" ht="15" x14ac:dyDescent="0.2">
      <c r="AI623" s="730">
        <v>0.93810000000000704</v>
      </c>
      <c r="AJ623" s="731">
        <v>46.72</v>
      </c>
    </row>
    <row r="624" spans="35:36" ht="15" x14ac:dyDescent="0.2">
      <c r="AI624" s="730">
        <v>0.93800000000000705</v>
      </c>
      <c r="AJ624" s="731">
        <v>46.77</v>
      </c>
    </row>
    <row r="625" spans="35:36" ht="15" x14ac:dyDescent="0.2">
      <c r="AI625" s="730">
        <v>0.93790000000000695</v>
      </c>
      <c r="AJ625" s="731">
        <v>46.82</v>
      </c>
    </row>
    <row r="626" spans="35:36" ht="15" x14ac:dyDescent="0.2">
      <c r="AI626" s="730">
        <v>0.93780000000000696</v>
      </c>
      <c r="AJ626" s="731">
        <v>46.88</v>
      </c>
    </row>
    <row r="627" spans="35:36" ht="15" x14ac:dyDescent="0.2">
      <c r="AI627" s="730">
        <v>0.93770000000000697</v>
      </c>
      <c r="AJ627" s="731">
        <v>46.93</v>
      </c>
    </row>
    <row r="628" spans="35:36" ht="15" x14ac:dyDescent="0.2">
      <c r="AI628" s="730">
        <v>0.93760000000000698</v>
      </c>
      <c r="AJ628" s="731">
        <v>46.98</v>
      </c>
    </row>
    <row r="629" spans="35:36" ht="15" x14ac:dyDescent="0.2">
      <c r="AI629" s="730">
        <v>0.93750000000000699</v>
      </c>
      <c r="AJ629" s="731">
        <v>47.04</v>
      </c>
    </row>
    <row r="630" spans="35:36" ht="15" x14ac:dyDescent="0.2">
      <c r="AI630" s="730">
        <v>0.93740000000000701</v>
      </c>
      <c r="AJ630" s="731">
        <v>47.09</v>
      </c>
    </row>
    <row r="631" spans="35:36" ht="15" x14ac:dyDescent="0.2">
      <c r="AI631" s="730">
        <v>0.93730000000000702</v>
      </c>
      <c r="AJ631" s="731">
        <v>47.14</v>
      </c>
    </row>
    <row r="632" spans="35:36" ht="15" x14ac:dyDescent="0.2">
      <c r="AI632" s="730">
        <v>0.93720000000000703</v>
      </c>
      <c r="AJ632" s="731">
        <v>47.2</v>
      </c>
    </row>
    <row r="633" spans="35:36" ht="15" x14ac:dyDescent="0.2">
      <c r="AI633" s="730">
        <v>0.93710000000000704</v>
      </c>
      <c r="AJ633" s="731">
        <v>47.25</v>
      </c>
    </row>
    <row r="634" spans="35:36" ht="15" x14ac:dyDescent="0.2">
      <c r="AI634" s="730">
        <v>0.93700000000000705</v>
      </c>
      <c r="AJ634" s="731">
        <v>47.3</v>
      </c>
    </row>
    <row r="635" spans="35:36" ht="15" x14ac:dyDescent="0.2">
      <c r="AI635" s="730">
        <v>0.93690000000000695</v>
      </c>
      <c r="AJ635" s="731">
        <v>47.36</v>
      </c>
    </row>
    <row r="636" spans="35:36" ht="15" x14ac:dyDescent="0.2">
      <c r="AI636" s="730">
        <v>0.93680000000000696</v>
      </c>
      <c r="AJ636" s="731">
        <v>47.41</v>
      </c>
    </row>
    <row r="637" spans="35:36" ht="15" x14ac:dyDescent="0.2">
      <c r="AI637" s="730">
        <v>0.93670000000000697</v>
      </c>
      <c r="AJ637" s="731">
        <v>47.46</v>
      </c>
    </row>
    <row r="638" spans="35:36" ht="15" x14ac:dyDescent="0.2">
      <c r="AI638" s="730">
        <v>0.93660000000000698</v>
      </c>
      <c r="AJ638" s="731">
        <v>47.52</v>
      </c>
    </row>
    <row r="639" spans="35:36" ht="15" x14ac:dyDescent="0.2">
      <c r="AI639" s="730">
        <v>0.93650000000000699</v>
      </c>
      <c r="AJ639" s="731">
        <v>47.57</v>
      </c>
    </row>
    <row r="640" spans="35:36" ht="15" x14ac:dyDescent="0.2">
      <c r="AI640" s="730">
        <v>0.936400000000007</v>
      </c>
      <c r="AJ640" s="731">
        <v>47.62</v>
      </c>
    </row>
    <row r="641" spans="35:36" ht="15" x14ac:dyDescent="0.2">
      <c r="AI641" s="730">
        <v>0.93630000000000702</v>
      </c>
      <c r="AJ641" s="731">
        <v>47.68</v>
      </c>
    </row>
    <row r="642" spans="35:36" ht="15" x14ac:dyDescent="0.2">
      <c r="AI642" s="730">
        <v>0.93620000000000703</v>
      </c>
      <c r="AJ642" s="731">
        <v>47.73</v>
      </c>
    </row>
    <row r="643" spans="35:36" ht="15" x14ac:dyDescent="0.2">
      <c r="AI643" s="730">
        <v>0.93610000000000704</v>
      </c>
      <c r="AJ643" s="731">
        <v>47.78</v>
      </c>
    </row>
    <row r="644" spans="35:36" ht="15" x14ac:dyDescent="0.2">
      <c r="AI644" s="730">
        <v>0.93600000000000705</v>
      </c>
      <c r="AJ644" s="731">
        <v>47.84</v>
      </c>
    </row>
    <row r="645" spans="35:36" ht="15" x14ac:dyDescent="0.2">
      <c r="AI645" s="730">
        <v>0.93590000000000795</v>
      </c>
      <c r="AJ645" s="731">
        <v>47.89</v>
      </c>
    </row>
    <row r="646" spans="35:36" ht="15" x14ac:dyDescent="0.2">
      <c r="AI646" s="730">
        <v>0.93580000000000796</v>
      </c>
      <c r="AJ646" s="731">
        <v>47.94</v>
      </c>
    </row>
    <row r="647" spans="35:36" ht="15" x14ac:dyDescent="0.2">
      <c r="AI647" s="730">
        <v>0.93570000000000797</v>
      </c>
      <c r="AJ647" s="731">
        <v>47.99</v>
      </c>
    </row>
    <row r="648" spans="35:36" ht="15" x14ac:dyDescent="0.2">
      <c r="AI648" s="730">
        <v>0.93560000000000798</v>
      </c>
      <c r="AJ648" s="731">
        <v>48.05</v>
      </c>
    </row>
    <row r="649" spans="35:36" ht="15" x14ac:dyDescent="0.2">
      <c r="AI649" s="730">
        <v>0.93550000000000799</v>
      </c>
      <c r="AJ649" s="731">
        <v>48.1</v>
      </c>
    </row>
    <row r="650" spans="35:36" ht="15" x14ac:dyDescent="0.2">
      <c r="AI650" s="730">
        <v>0.935400000000008</v>
      </c>
      <c r="AJ650" s="731">
        <v>48.15</v>
      </c>
    </row>
    <row r="651" spans="35:36" ht="15" x14ac:dyDescent="0.2">
      <c r="AI651" s="730">
        <v>0.93530000000000801</v>
      </c>
      <c r="AJ651" s="731">
        <v>48.2</v>
      </c>
    </row>
    <row r="652" spans="35:36" ht="15" x14ac:dyDescent="0.2">
      <c r="AI652" s="730">
        <v>0.93520000000000802</v>
      </c>
      <c r="AJ652" s="731">
        <v>48.26</v>
      </c>
    </row>
    <row r="653" spans="35:36" ht="15" x14ac:dyDescent="0.2">
      <c r="AI653" s="730">
        <v>0.93510000000000804</v>
      </c>
      <c r="AJ653" s="731">
        <v>48.31</v>
      </c>
    </row>
    <row r="654" spans="35:36" ht="15" x14ac:dyDescent="0.2">
      <c r="AI654" s="730">
        <v>0.93500000000000805</v>
      </c>
      <c r="AJ654" s="731">
        <v>48.36</v>
      </c>
    </row>
    <row r="655" spans="35:36" ht="15" x14ac:dyDescent="0.2">
      <c r="AI655" s="730">
        <v>0.93490000000000795</v>
      </c>
      <c r="AJ655" s="731">
        <v>48.41</v>
      </c>
    </row>
    <row r="656" spans="35:36" ht="15" x14ac:dyDescent="0.2">
      <c r="AI656" s="730">
        <v>0.93480000000000796</v>
      </c>
      <c r="AJ656" s="731">
        <v>48.47</v>
      </c>
    </row>
    <row r="657" spans="35:36" ht="15" x14ac:dyDescent="0.2">
      <c r="AI657" s="730">
        <v>0.93470000000000797</v>
      </c>
      <c r="AJ657" s="731">
        <v>48.52</v>
      </c>
    </row>
    <row r="658" spans="35:36" ht="15" x14ac:dyDescent="0.2">
      <c r="AI658" s="730">
        <v>0.93460000000000798</v>
      </c>
      <c r="AJ658" s="731">
        <v>48.57</v>
      </c>
    </row>
    <row r="659" spans="35:36" ht="15" x14ac:dyDescent="0.2">
      <c r="AI659" s="730">
        <v>0.93450000000000799</v>
      </c>
      <c r="AJ659" s="731">
        <v>48.62</v>
      </c>
    </row>
    <row r="660" spans="35:36" ht="15" x14ac:dyDescent="0.2">
      <c r="AI660" s="730">
        <v>0.934400000000008</v>
      </c>
      <c r="AJ660" s="731">
        <v>48.67</v>
      </c>
    </row>
    <row r="661" spans="35:36" ht="15" x14ac:dyDescent="0.2">
      <c r="AI661" s="730">
        <v>0.93430000000000801</v>
      </c>
      <c r="AJ661" s="731">
        <v>48.73</v>
      </c>
    </row>
    <row r="662" spans="35:36" ht="15" x14ac:dyDescent="0.2">
      <c r="AI662" s="730">
        <v>0.93420000000000802</v>
      </c>
      <c r="AJ662" s="731">
        <v>48.78</v>
      </c>
    </row>
    <row r="663" spans="35:36" ht="15" x14ac:dyDescent="0.2">
      <c r="AI663" s="730">
        <v>0.93410000000000803</v>
      </c>
      <c r="AJ663" s="731">
        <v>48.83</v>
      </c>
    </row>
    <row r="664" spans="35:36" ht="15" x14ac:dyDescent="0.2">
      <c r="AI664" s="730">
        <v>0.93400000000000805</v>
      </c>
      <c r="AJ664" s="731">
        <v>48.88</v>
      </c>
    </row>
    <row r="665" spans="35:36" ht="15" x14ac:dyDescent="0.2">
      <c r="AI665" s="730">
        <v>0.93390000000000795</v>
      </c>
      <c r="AJ665" s="731">
        <v>48.93</v>
      </c>
    </row>
    <row r="666" spans="35:36" ht="15" x14ac:dyDescent="0.2">
      <c r="AI666" s="730">
        <v>0.93380000000000796</v>
      </c>
      <c r="AJ666" s="731">
        <v>48.99</v>
      </c>
    </row>
    <row r="667" spans="35:36" ht="15" x14ac:dyDescent="0.2">
      <c r="AI667" s="730">
        <v>0.93370000000000797</v>
      </c>
      <c r="AJ667" s="731">
        <v>49.04</v>
      </c>
    </row>
    <row r="668" spans="35:36" ht="15" x14ac:dyDescent="0.2">
      <c r="AI668" s="730">
        <v>0.93360000000000798</v>
      </c>
      <c r="AJ668" s="731">
        <v>49.09</v>
      </c>
    </row>
    <row r="669" spans="35:36" ht="15" x14ac:dyDescent="0.2">
      <c r="AI669" s="730">
        <v>0.93350000000000799</v>
      </c>
      <c r="AJ669" s="731">
        <v>49.14</v>
      </c>
    </row>
    <row r="670" spans="35:36" ht="15" x14ac:dyDescent="0.2">
      <c r="AI670" s="730">
        <v>0.933400000000008</v>
      </c>
      <c r="AJ670" s="731">
        <v>49.19</v>
      </c>
    </row>
    <row r="671" spans="35:36" ht="15" x14ac:dyDescent="0.2">
      <c r="AI671" s="730">
        <v>0.93330000000000801</v>
      </c>
      <c r="AJ671" s="731">
        <v>49.24</v>
      </c>
    </row>
    <row r="672" spans="35:36" ht="15" x14ac:dyDescent="0.2">
      <c r="AI672" s="730">
        <v>0.93320000000000802</v>
      </c>
      <c r="AJ672" s="731">
        <v>49.3</v>
      </c>
    </row>
    <row r="673" spans="35:36" ht="15" x14ac:dyDescent="0.2">
      <c r="AI673" s="730">
        <v>0.93310000000000803</v>
      </c>
      <c r="AJ673" s="731">
        <v>49.35</v>
      </c>
    </row>
    <row r="674" spans="35:36" ht="15" x14ac:dyDescent="0.2">
      <c r="AI674" s="730">
        <v>0.93300000000000805</v>
      </c>
      <c r="AJ674" s="731">
        <v>49.4</v>
      </c>
    </row>
    <row r="675" spans="35:36" ht="15" x14ac:dyDescent="0.2">
      <c r="AI675" s="730">
        <v>0.93290000000000795</v>
      </c>
      <c r="AJ675" s="731">
        <v>49.45</v>
      </c>
    </row>
    <row r="676" spans="35:36" ht="15" x14ac:dyDescent="0.2">
      <c r="AI676" s="730">
        <v>0.93280000000000796</v>
      </c>
      <c r="AJ676" s="731">
        <v>49.5</v>
      </c>
    </row>
    <row r="677" spans="35:36" ht="15" x14ac:dyDescent="0.2">
      <c r="AI677" s="730">
        <v>0.93270000000000797</v>
      </c>
      <c r="AJ677" s="731">
        <v>49.55</v>
      </c>
    </row>
    <row r="678" spans="35:36" ht="15" x14ac:dyDescent="0.2">
      <c r="AI678" s="730">
        <v>0.93260000000000798</v>
      </c>
      <c r="AJ678" s="731">
        <v>49.6</v>
      </c>
    </row>
    <row r="679" spans="35:36" ht="15" x14ac:dyDescent="0.2">
      <c r="AI679" s="730">
        <v>0.93250000000000799</v>
      </c>
      <c r="AJ679" s="731">
        <v>49.65</v>
      </c>
    </row>
    <row r="680" spans="35:36" ht="15" x14ac:dyDescent="0.2">
      <c r="AI680" s="730">
        <v>0.932400000000008</v>
      </c>
      <c r="AJ680" s="731">
        <v>49.71</v>
      </c>
    </row>
    <row r="681" spans="35:36" ht="15" x14ac:dyDescent="0.2">
      <c r="AI681" s="730">
        <v>0.93230000000000801</v>
      </c>
      <c r="AJ681" s="731">
        <v>49.76</v>
      </c>
    </row>
    <row r="682" spans="35:36" ht="15" x14ac:dyDescent="0.2">
      <c r="AI682" s="730">
        <v>0.93220000000000802</v>
      </c>
      <c r="AJ682" s="731">
        <v>49.81</v>
      </c>
    </row>
    <row r="683" spans="35:36" ht="15" x14ac:dyDescent="0.2">
      <c r="AI683" s="730">
        <v>0.93210000000000803</v>
      </c>
      <c r="AJ683" s="731">
        <v>49.86</v>
      </c>
    </row>
    <row r="684" spans="35:36" ht="15" x14ac:dyDescent="0.2">
      <c r="AI684" s="730">
        <v>0.93200000000000804</v>
      </c>
      <c r="AJ684" s="731">
        <v>49.91</v>
      </c>
    </row>
    <row r="685" spans="35:36" ht="15" x14ac:dyDescent="0.2">
      <c r="AI685" s="730">
        <v>0.93190000000000806</v>
      </c>
      <c r="AJ685" s="731">
        <v>49.96</v>
      </c>
    </row>
    <row r="686" spans="35:36" ht="15" x14ac:dyDescent="0.2">
      <c r="AI686" s="730">
        <v>0.93180000000000796</v>
      </c>
      <c r="AJ686" s="731">
        <v>50.01</v>
      </c>
    </row>
    <row r="687" spans="35:36" ht="15" x14ac:dyDescent="0.2">
      <c r="AI687" s="730">
        <v>0.93170000000000797</v>
      </c>
      <c r="AJ687" s="731">
        <v>50.06</v>
      </c>
    </row>
    <row r="688" spans="35:36" ht="15" x14ac:dyDescent="0.2">
      <c r="AI688" s="730">
        <v>0.93160000000000798</v>
      </c>
      <c r="AJ688" s="731">
        <v>50.11</v>
      </c>
    </row>
    <row r="689" spans="35:36" ht="15" x14ac:dyDescent="0.2">
      <c r="AI689" s="730">
        <v>0.93150000000000799</v>
      </c>
      <c r="AJ689" s="731">
        <v>50.16</v>
      </c>
    </row>
    <row r="690" spans="35:36" ht="15" x14ac:dyDescent="0.2">
      <c r="AI690" s="730">
        <v>0.931400000000008</v>
      </c>
      <c r="AJ690" s="731">
        <v>50.21</v>
      </c>
    </row>
    <row r="691" spans="35:36" ht="15" x14ac:dyDescent="0.2">
      <c r="AI691" s="730">
        <v>0.93130000000000801</v>
      </c>
      <c r="AJ691" s="731">
        <v>50.26</v>
      </c>
    </row>
    <row r="692" spans="35:36" ht="15" x14ac:dyDescent="0.2">
      <c r="AI692" s="730">
        <v>0.93120000000000802</v>
      </c>
      <c r="AJ692" s="731">
        <v>50.31</v>
      </c>
    </row>
    <row r="693" spans="35:36" ht="15" x14ac:dyDescent="0.2">
      <c r="AI693" s="730">
        <v>0.93110000000000803</v>
      </c>
      <c r="AJ693" s="731">
        <v>50.36</v>
      </c>
    </row>
    <row r="694" spans="35:36" ht="15" x14ac:dyDescent="0.2">
      <c r="AI694" s="730">
        <v>0.93100000000000804</v>
      </c>
      <c r="AJ694" s="731">
        <v>50.41</v>
      </c>
    </row>
    <row r="695" spans="35:36" ht="15" x14ac:dyDescent="0.2">
      <c r="AI695" s="730">
        <v>0.93090000000000805</v>
      </c>
      <c r="AJ695" s="731">
        <v>50.46</v>
      </c>
    </row>
    <row r="696" spans="35:36" ht="15" x14ac:dyDescent="0.2">
      <c r="AI696" s="730">
        <v>0.93080000000000795</v>
      </c>
      <c r="AJ696" s="731">
        <v>50.51</v>
      </c>
    </row>
    <row r="697" spans="35:36" ht="15" x14ac:dyDescent="0.2">
      <c r="AI697" s="730">
        <v>0.93070000000000797</v>
      </c>
      <c r="AJ697" s="731">
        <v>50.56</v>
      </c>
    </row>
    <row r="698" spans="35:36" ht="15" x14ac:dyDescent="0.2">
      <c r="AI698" s="730">
        <v>0.93060000000000798</v>
      </c>
      <c r="AJ698" s="731">
        <v>50.62</v>
      </c>
    </row>
    <row r="699" spans="35:36" ht="15" x14ac:dyDescent="0.2">
      <c r="AI699" s="730">
        <v>0.93050000000000799</v>
      </c>
      <c r="AJ699" s="731">
        <v>50.67</v>
      </c>
    </row>
    <row r="700" spans="35:36" ht="15" x14ac:dyDescent="0.2">
      <c r="AI700" s="730">
        <v>0.930400000000008</v>
      </c>
      <c r="AJ700" s="731">
        <v>50.72</v>
      </c>
    </row>
    <row r="701" spans="35:36" ht="15" x14ac:dyDescent="0.2">
      <c r="AI701" s="730">
        <v>0.93030000000000801</v>
      </c>
      <c r="AJ701" s="731">
        <v>50.77</v>
      </c>
    </row>
    <row r="702" spans="35:36" ht="15" x14ac:dyDescent="0.2">
      <c r="AI702" s="730">
        <v>0.93020000000000802</v>
      </c>
      <c r="AJ702" s="731">
        <v>50.82</v>
      </c>
    </row>
    <row r="703" spans="35:36" ht="15" x14ac:dyDescent="0.2">
      <c r="AI703" s="730">
        <v>0.93010000000000803</v>
      </c>
      <c r="AJ703" s="731">
        <v>50.87</v>
      </c>
    </row>
    <row r="704" spans="35:36" ht="15" x14ac:dyDescent="0.2">
      <c r="AI704" s="730">
        <v>0.93000000000000804</v>
      </c>
      <c r="AJ704" s="731">
        <v>50.92</v>
      </c>
    </row>
    <row r="705" spans="35:36" ht="15" x14ac:dyDescent="0.2">
      <c r="AI705" s="730">
        <v>0.92990000000000805</v>
      </c>
      <c r="AJ705" s="731">
        <v>50.97</v>
      </c>
    </row>
    <row r="706" spans="35:36" ht="15" x14ac:dyDescent="0.2">
      <c r="AI706" s="730">
        <v>0.92980000000000795</v>
      </c>
      <c r="AJ706" s="731">
        <v>51.02</v>
      </c>
    </row>
    <row r="707" spans="35:36" ht="15" x14ac:dyDescent="0.2">
      <c r="AI707" s="730">
        <v>0.92970000000000796</v>
      </c>
      <c r="AJ707" s="731">
        <v>51.07</v>
      </c>
    </row>
    <row r="708" spans="35:36" ht="15" x14ac:dyDescent="0.2">
      <c r="AI708" s="730">
        <v>0.92960000000000798</v>
      </c>
      <c r="AJ708" s="731">
        <v>51.12</v>
      </c>
    </row>
    <row r="709" spans="35:36" ht="15" x14ac:dyDescent="0.2">
      <c r="AI709" s="730">
        <v>0.92950000000000799</v>
      </c>
      <c r="AJ709" s="731">
        <v>51.16</v>
      </c>
    </row>
    <row r="710" spans="35:36" ht="15" x14ac:dyDescent="0.2">
      <c r="AI710" s="730">
        <v>0.929400000000008</v>
      </c>
      <c r="AJ710" s="731">
        <v>51.21</v>
      </c>
    </row>
    <row r="711" spans="35:36" ht="15" x14ac:dyDescent="0.2">
      <c r="AI711" s="730">
        <v>0.92930000000000801</v>
      </c>
      <c r="AJ711" s="731">
        <v>51.26</v>
      </c>
    </row>
    <row r="712" spans="35:36" ht="15" x14ac:dyDescent="0.2">
      <c r="AI712" s="730">
        <v>0.92920000000000802</v>
      </c>
      <c r="AJ712" s="731">
        <v>51.31</v>
      </c>
    </row>
    <row r="713" spans="35:36" ht="15" x14ac:dyDescent="0.2">
      <c r="AI713" s="730">
        <v>0.92910000000000803</v>
      </c>
      <c r="AJ713" s="731">
        <v>51.36</v>
      </c>
    </row>
    <row r="714" spans="35:36" ht="15" x14ac:dyDescent="0.2">
      <c r="AI714" s="730">
        <v>0.92900000000000804</v>
      </c>
      <c r="AJ714" s="731">
        <v>51.41</v>
      </c>
    </row>
    <row r="715" spans="35:36" ht="15" x14ac:dyDescent="0.2">
      <c r="AI715" s="730">
        <v>0.92890000000000805</v>
      </c>
      <c r="AJ715" s="731">
        <v>51.46</v>
      </c>
    </row>
    <row r="716" spans="35:36" ht="15" x14ac:dyDescent="0.2">
      <c r="AI716" s="730">
        <v>0.92880000000000795</v>
      </c>
      <c r="AJ716" s="731">
        <v>51.51</v>
      </c>
    </row>
    <row r="717" spans="35:36" ht="15" x14ac:dyDescent="0.2">
      <c r="AI717" s="730">
        <v>0.92870000000000796</v>
      </c>
      <c r="AJ717" s="731">
        <v>51.36</v>
      </c>
    </row>
    <row r="718" spans="35:36" ht="15" x14ac:dyDescent="0.2">
      <c r="AI718" s="730">
        <v>0.92860000000000797</v>
      </c>
      <c r="AJ718" s="731">
        <v>51.61</v>
      </c>
    </row>
    <row r="719" spans="35:36" ht="15" x14ac:dyDescent="0.2">
      <c r="AI719" s="730">
        <v>0.92850000000000799</v>
      </c>
      <c r="AJ719" s="731">
        <v>51.66</v>
      </c>
    </row>
    <row r="720" spans="35:36" ht="15" x14ac:dyDescent="0.2">
      <c r="AI720" s="730">
        <v>0.928400000000008</v>
      </c>
      <c r="AJ720" s="731">
        <v>51.71</v>
      </c>
    </row>
    <row r="721" spans="35:36" ht="15" x14ac:dyDescent="0.2">
      <c r="AI721" s="730">
        <v>0.92830000000000801</v>
      </c>
      <c r="AJ721" s="731">
        <v>51.76</v>
      </c>
    </row>
    <row r="722" spans="35:36" ht="15" x14ac:dyDescent="0.2">
      <c r="AI722" s="730">
        <v>0.92820000000000802</v>
      </c>
      <c r="AJ722" s="731">
        <v>51.81</v>
      </c>
    </row>
    <row r="723" spans="35:36" ht="15" x14ac:dyDescent="0.2">
      <c r="AI723" s="730">
        <v>0.92810000000000803</v>
      </c>
      <c r="AJ723" s="731">
        <v>51.86</v>
      </c>
    </row>
    <row r="724" spans="35:36" ht="15" x14ac:dyDescent="0.2">
      <c r="AI724" s="730">
        <v>0.92800000000000804</v>
      </c>
      <c r="AJ724" s="731">
        <v>51.91</v>
      </c>
    </row>
    <row r="725" spans="35:36" ht="15" x14ac:dyDescent="0.2">
      <c r="AI725" s="730">
        <v>0.92790000000000805</v>
      </c>
      <c r="AJ725" s="731">
        <v>51.96</v>
      </c>
    </row>
    <row r="726" spans="35:36" ht="15" x14ac:dyDescent="0.2">
      <c r="AI726" s="730">
        <v>0.92780000000000795</v>
      </c>
      <c r="AJ726" s="731">
        <v>52.01</v>
      </c>
    </row>
    <row r="727" spans="35:36" ht="15" x14ac:dyDescent="0.2">
      <c r="AI727" s="730">
        <v>0.92770000000000796</v>
      </c>
      <c r="AJ727" s="731">
        <v>52.06</v>
      </c>
    </row>
    <row r="728" spans="35:36" ht="15" x14ac:dyDescent="0.2">
      <c r="AI728" s="730">
        <v>0.92760000000000797</v>
      </c>
      <c r="AJ728" s="731">
        <v>52.11</v>
      </c>
    </row>
    <row r="729" spans="35:36" ht="15" x14ac:dyDescent="0.2">
      <c r="AI729" s="730">
        <v>0.92750000000000798</v>
      </c>
      <c r="AJ729" s="731">
        <v>52.16</v>
      </c>
    </row>
    <row r="730" spans="35:36" ht="15" x14ac:dyDescent="0.2">
      <c r="AI730" s="730">
        <v>0.927400000000008</v>
      </c>
      <c r="AJ730" s="731">
        <v>52.21</v>
      </c>
    </row>
    <row r="731" spans="35:36" ht="15" x14ac:dyDescent="0.2">
      <c r="AI731" s="730">
        <v>0.92730000000000801</v>
      </c>
      <c r="AJ731" s="731">
        <v>52.26</v>
      </c>
    </row>
    <row r="732" spans="35:36" ht="15" x14ac:dyDescent="0.2">
      <c r="AI732" s="730">
        <v>0.92720000000000802</v>
      </c>
      <c r="AJ732" s="731">
        <v>52.31</v>
      </c>
    </row>
    <row r="733" spans="35:36" ht="15" x14ac:dyDescent="0.2">
      <c r="AI733" s="730">
        <v>0.92710000000000803</v>
      </c>
      <c r="AJ733" s="731">
        <v>52.35</v>
      </c>
    </row>
    <row r="734" spans="35:36" ht="15" x14ac:dyDescent="0.2">
      <c r="AI734" s="730">
        <v>0.92700000000000804</v>
      </c>
      <c r="AJ734" s="731">
        <v>52.4</v>
      </c>
    </row>
    <row r="735" spans="35:36" ht="15" x14ac:dyDescent="0.2">
      <c r="AI735" s="730">
        <v>0.92690000000000805</v>
      </c>
      <c r="AJ735" s="731">
        <v>52.45</v>
      </c>
    </row>
    <row r="736" spans="35:36" ht="15" x14ac:dyDescent="0.2">
      <c r="AI736" s="730">
        <v>0.92680000000000895</v>
      </c>
      <c r="AJ736" s="731">
        <v>52.5</v>
      </c>
    </row>
    <row r="737" spans="35:36" ht="15" x14ac:dyDescent="0.2">
      <c r="AI737" s="730">
        <v>0.92670000000000896</v>
      </c>
      <c r="AJ737" s="731">
        <v>52.55</v>
      </c>
    </row>
    <row r="738" spans="35:36" ht="15" x14ac:dyDescent="0.2">
      <c r="AI738" s="730">
        <v>0.92660000000000897</v>
      </c>
      <c r="AJ738" s="731">
        <v>52.6</v>
      </c>
    </row>
    <row r="739" spans="35:36" ht="15" x14ac:dyDescent="0.2">
      <c r="AI739" s="730">
        <v>0.92650000000000898</v>
      </c>
      <c r="AJ739" s="731">
        <v>52.65</v>
      </c>
    </row>
    <row r="740" spans="35:36" ht="15" x14ac:dyDescent="0.2">
      <c r="AI740" s="730">
        <v>0.92640000000000899</v>
      </c>
      <c r="AJ740" s="731">
        <v>52.7</v>
      </c>
    </row>
    <row r="741" spans="35:36" ht="15" x14ac:dyDescent="0.2">
      <c r="AI741" s="730">
        <v>0.92630000000000901</v>
      </c>
      <c r="AJ741" s="731">
        <v>52.75</v>
      </c>
    </row>
    <row r="742" spans="35:36" ht="15" x14ac:dyDescent="0.2">
      <c r="AI742" s="730">
        <v>0.92620000000000902</v>
      </c>
      <c r="AJ742" s="731">
        <v>52.8</v>
      </c>
    </row>
    <row r="743" spans="35:36" ht="15" x14ac:dyDescent="0.2">
      <c r="AI743" s="730">
        <v>0.92610000000000903</v>
      </c>
      <c r="AJ743" s="731">
        <v>52.84</v>
      </c>
    </row>
    <row r="744" spans="35:36" ht="15" x14ac:dyDescent="0.2">
      <c r="AI744" s="730">
        <v>0.92600000000000904</v>
      </c>
      <c r="AJ744" s="731">
        <v>52.89</v>
      </c>
    </row>
    <row r="745" spans="35:36" ht="15" x14ac:dyDescent="0.2">
      <c r="AI745" s="730">
        <v>0.92590000000000905</v>
      </c>
      <c r="AJ745" s="731">
        <v>52.94</v>
      </c>
    </row>
    <row r="746" spans="35:36" ht="15" x14ac:dyDescent="0.2">
      <c r="AI746" s="730">
        <v>0.92580000000000895</v>
      </c>
      <c r="AJ746" s="731">
        <v>52.99</v>
      </c>
    </row>
    <row r="747" spans="35:36" ht="15" x14ac:dyDescent="0.2">
      <c r="AI747" s="730">
        <v>0.92570000000000896</v>
      </c>
      <c r="AJ747" s="731">
        <v>53.04</v>
      </c>
    </row>
    <row r="748" spans="35:36" ht="15" x14ac:dyDescent="0.2">
      <c r="AI748" s="730">
        <v>0.92560000000000897</v>
      </c>
      <c r="AJ748" s="731">
        <v>53.09</v>
      </c>
    </row>
    <row r="749" spans="35:36" ht="15" x14ac:dyDescent="0.2">
      <c r="AI749" s="730">
        <v>0.92550000000000898</v>
      </c>
      <c r="AJ749" s="731">
        <v>53.14</v>
      </c>
    </row>
    <row r="750" spans="35:36" ht="15" x14ac:dyDescent="0.2">
      <c r="AI750" s="730">
        <v>0.92540000000000899</v>
      </c>
      <c r="AJ750" s="731">
        <v>53.19</v>
      </c>
    </row>
    <row r="751" spans="35:36" ht="15" x14ac:dyDescent="0.2">
      <c r="AI751" s="730">
        <v>0.925300000000009</v>
      </c>
      <c r="AJ751" s="731">
        <v>53.23</v>
      </c>
    </row>
    <row r="752" spans="35:36" ht="15" x14ac:dyDescent="0.2">
      <c r="AI752" s="730">
        <v>0.92520000000000902</v>
      </c>
      <c r="AJ752" s="731">
        <v>53.28</v>
      </c>
    </row>
    <row r="753" spans="35:36" ht="15" x14ac:dyDescent="0.2">
      <c r="AI753" s="730">
        <v>0.92510000000000903</v>
      </c>
      <c r="AJ753" s="731">
        <v>53.33</v>
      </c>
    </row>
    <row r="754" spans="35:36" ht="15" x14ac:dyDescent="0.2">
      <c r="AI754" s="730">
        <v>0.92500000000000904</v>
      </c>
      <c r="AJ754" s="731">
        <v>53.38</v>
      </c>
    </row>
    <row r="755" spans="35:36" ht="15" x14ac:dyDescent="0.2">
      <c r="AI755" s="730">
        <v>0.92490000000000905</v>
      </c>
      <c r="AJ755" s="731">
        <v>53.43</v>
      </c>
    </row>
    <row r="756" spans="35:36" ht="15" x14ac:dyDescent="0.2">
      <c r="AI756" s="730">
        <v>0.92480000000000895</v>
      </c>
      <c r="AJ756" s="731">
        <v>53.48</v>
      </c>
    </row>
    <row r="757" spans="35:36" ht="15" x14ac:dyDescent="0.2">
      <c r="AI757" s="730">
        <v>0.92470000000000896</v>
      </c>
      <c r="AJ757" s="731">
        <v>53.52</v>
      </c>
    </row>
    <row r="758" spans="35:36" ht="15" x14ac:dyDescent="0.2">
      <c r="AI758" s="730">
        <v>0.92460000000000897</v>
      </c>
      <c r="AJ758" s="731">
        <v>53.57</v>
      </c>
    </row>
    <row r="759" spans="35:36" ht="15" x14ac:dyDescent="0.2">
      <c r="AI759" s="730">
        <v>0.92450000000000898</v>
      </c>
      <c r="AJ759" s="731">
        <v>53.62</v>
      </c>
    </row>
    <row r="760" spans="35:36" ht="15" x14ac:dyDescent="0.2">
      <c r="AI760" s="730">
        <v>0.92440000000000899</v>
      </c>
      <c r="AJ760" s="731">
        <v>53.67</v>
      </c>
    </row>
    <row r="761" spans="35:36" ht="15" x14ac:dyDescent="0.2">
      <c r="AI761" s="730">
        <v>0.924300000000009</v>
      </c>
      <c r="AJ761" s="731">
        <v>53.72</v>
      </c>
    </row>
    <row r="762" spans="35:36" ht="15" x14ac:dyDescent="0.2">
      <c r="AI762" s="730">
        <v>0.92420000000000901</v>
      </c>
      <c r="AJ762" s="731">
        <v>53.77</v>
      </c>
    </row>
    <row r="763" spans="35:36" ht="15" x14ac:dyDescent="0.2">
      <c r="AI763" s="730">
        <v>0.92410000000000903</v>
      </c>
      <c r="AJ763" s="731">
        <v>53.82</v>
      </c>
    </row>
    <row r="764" spans="35:36" ht="15" x14ac:dyDescent="0.2">
      <c r="AI764" s="730">
        <v>0.92400000000000904</v>
      </c>
      <c r="AJ764" s="731">
        <v>53.86</v>
      </c>
    </row>
    <row r="765" spans="35:36" ht="15" x14ac:dyDescent="0.2">
      <c r="AI765" s="730">
        <v>0.92390000000000905</v>
      </c>
      <c r="AJ765" s="731">
        <v>53.91</v>
      </c>
    </row>
    <row r="766" spans="35:36" ht="15" x14ac:dyDescent="0.2">
      <c r="AI766" s="730">
        <v>0.92380000000000895</v>
      </c>
      <c r="AJ766" s="731">
        <v>53.96</v>
      </c>
    </row>
    <row r="767" spans="35:36" ht="15" x14ac:dyDescent="0.2">
      <c r="AI767" s="730">
        <v>0.92370000000000896</v>
      </c>
      <c r="AJ767" s="731">
        <v>54.01</v>
      </c>
    </row>
    <row r="768" spans="35:36" ht="15" x14ac:dyDescent="0.2">
      <c r="AI768" s="730">
        <v>0.92360000000000897</v>
      </c>
      <c r="AJ768" s="731">
        <v>54.06</v>
      </c>
    </row>
    <row r="769" spans="35:36" ht="15" x14ac:dyDescent="0.2">
      <c r="AI769" s="730">
        <v>0.92350000000000898</v>
      </c>
      <c r="AJ769" s="731">
        <v>54.1</v>
      </c>
    </row>
    <row r="770" spans="35:36" ht="15" x14ac:dyDescent="0.2">
      <c r="AI770" s="730">
        <v>0.92340000000000899</v>
      </c>
      <c r="AJ770" s="731">
        <v>54.15</v>
      </c>
    </row>
    <row r="771" spans="35:36" ht="15" x14ac:dyDescent="0.2">
      <c r="AI771" s="730">
        <v>0.923300000000009</v>
      </c>
      <c r="AJ771" s="731">
        <v>54.2</v>
      </c>
    </row>
    <row r="772" spans="35:36" ht="15" x14ac:dyDescent="0.2">
      <c r="AI772" s="730">
        <v>0.92320000000000901</v>
      </c>
      <c r="AJ772" s="731">
        <v>54.25</v>
      </c>
    </row>
    <row r="773" spans="35:36" ht="15" x14ac:dyDescent="0.2">
      <c r="AI773" s="730">
        <v>0.92310000000000902</v>
      </c>
      <c r="AJ773" s="731">
        <v>54.3</v>
      </c>
    </row>
    <row r="774" spans="35:36" ht="15" x14ac:dyDescent="0.2">
      <c r="AI774" s="730">
        <v>0.92300000000000904</v>
      </c>
      <c r="AJ774" s="731">
        <v>54.35</v>
      </c>
    </row>
    <row r="775" spans="35:36" ht="15" x14ac:dyDescent="0.2">
      <c r="AI775" s="730">
        <v>0.92290000000000905</v>
      </c>
      <c r="AJ775" s="731">
        <v>54.39</v>
      </c>
    </row>
    <row r="776" spans="35:36" ht="15" x14ac:dyDescent="0.2">
      <c r="AI776" s="730">
        <v>0.92280000000000895</v>
      </c>
      <c r="AJ776" s="731">
        <v>54.44</v>
      </c>
    </row>
    <row r="777" spans="35:36" ht="15" x14ac:dyDescent="0.2">
      <c r="AI777" s="730">
        <v>0.92270000000000896</v>
      </c>
      <c r="AJ777" s="731">
        <v>54.49</v>
      </c>
    </row>
    <row r="778" spans="35:36" ht="15" x14ac:dyDescent="0.2">
      <c r="AI778" s="730">
        <v>0.92260000000000897</v>
      </c>
      <c r="AJ778" s="731">
        <v>54.54</v>
      </c>
    </row>
    <row r="779" spans="35:36" ht="15" x14ac:dyDescent="0.2">
      <c r="AI779" s="730">
        <v>0.92250000000000898</v>
      </c>
      <c r="AJ779" s="731">
        <v>54.59</v>
      </c>
    </row>
    <row r="780" spans="35:36" ht="15" x14ac:dyDescent="0.2">
      <c r="AI780" s="730">
        <v>0.92240000000000899</v>
      </c>
      <c r="AJ780" s="731">
        <v>54.63</v>
      </c>
    </row>
    <row r="781" spans="35:36" ht="15" x14ac:dyDescent="0.2">
      <c r="AI781" s="730">
        <v>0.922300000000009</v>
      </c>
      <c r="AJ781" s="731">
        <v>54.68</v>
      </c>
    </row>
    <row r="782" spans="35:36" ht="15" x14ac:dyDescent="0.2">
      <c r="AI782" s="730">
        <v>0.92220000000000901</v>
      </c>
      <c r="AJ782" s="731">
        <v>54.73</v>
      </c>
    </row>
    <row r="783" spans="35:36" ht="15" x14ac:dyDescent="0.2">
      <c r="AI783" s="730">
        <v>0.92210000000000902</v>
      </c>
      <c r="AJ783" s="731">
        <v>54.78</v>
      </c>
    </row>
    <row r="784" spans="35:36" ht="15" x14ac:dyDescent="0.2">
      <c r="AI784" s="730">
        <v>0.92200000000000903</v>
      </c>
      <c r="AJ784" s="731">
        <v>54.82</v>
      </c>
    </row>
    <row r="785" spans="35:36" ht="15" x14ac:dyDescent="0.2">
      <c r="AI785" s="730">
        <v>0.92190000000000905</v>
      </c>
      <c r="AJ785" s="731">
        <v>54.87</v>
      </c>
    </row>
    <row r="786" spans="35:36" ht="15" x14ac:dyDescent="0.2">
      <c r="AI786" s="730">
        <v>0.92180000000000895</v>
      </c>
      <c r="AJ786" s="731">
        <v>54.92</v>
      </c>
    </row>
    <row r="787" spans="35:36" ht="15" x14ac:dyDescent="0.2">
      <c r="AI787" s="730">
        <v>0.92170000000000896</v>
      </c>
      <c r="AJ787" s="731">
        <v>54.97</v>
      </c>
    </row>
    <row r="788" spans="35:36" ht="15" x14ac:dyDescent="0.2">
      <c r="AI788" s="730">
        <v>0.92160000000000897</v>
      </c>
      <c r="AJ788" s="731">
        <v>55.01</v>
      </c>
    </row>
    <row r="789" spans="35:36" ht="15" x14ac:dyDescent="0.2">
      <c r="AI789" s="730">
        <v>0.92150000000000898</v>
      </c>
      <c r="AJ789" s="731">
        <v>55.06</v>
      </c>
    </row>
    <row r="790" spans="35:36" ht="15" x14ac:dyDescent="0.2">
      <c r="AI790" s="730">
        <v>0.92140000000000899</v>
      </c>
      <c r="AJ790" s="731">
        <v>55.11</v>
      </c>
    </row>
    <row r="791" spans="35:36" ht="15" x14ac:dyDescent="0.2">
      <c r="AI791" s="730">
        <v>0.921300000000009</v>
      </c>
      <c r="AJ791" s="731">
        <v>55.16</v>
      </c>
    </row>
    <row r="792" spans="35:36" ht="15" x14ac:dyDescent="0.2">
      <c r="AI792" s="730">
        <v>0.92120000000000901</v>
      </c>
      <c r="AJ792" s="731">
        <v>55.2</v>
      </c>
    </row>
    <row r="793" spans="35:36" ht="15" x14ac:dyDescent="0.2">
      <c r="AI793" s="730">
        <v>0.92110000000000902</v>
      </c>
      <c r="AJ793" s="731">
        <v>55.25</v>
      </c>
    </row>
    <row r="794" spans="35:36" ht="15" x14ac:dyDescent="0.2">
      <c r="AI794" s="730">
        <v>0.92100000000000903</v>
      </c>
      <c r="AJ794" s="731">
        <v>55.3</v>
      </c>
    </row>
    <row r="795" spans="35:36" ht="15" x14ac:dyDescent="0.2">
      <c r="AI795" s="730">
        <v>0.92090000000000904</v>
      </c>
      <c r="AJ795" s="731">
        <v>55.35</v>
      </c>
    </row>
    <row r="796" spans="35:36" ht="15" x14ac:dyDescent="0.2">
      <c r="AI796" s="730">
        <v>0.92080000000000894</v>
      </c>
      <c r="AJ796" s="731">
        <v>55.39</v>
      </c>
    </row>
    <row r="797" spans="35:36" ht="15" x14ac:dyDescent="0.2">
      <c r="AI797" s="730">
        <v>0.92070000000000896</v>
      </c>
      <c r="AJ797" s="731">
        <v>55.44</v>
      </c>
    </row>
    <row r="798" spans="35:36" ht="15" x14ac:dyDescent="0.2">
      <c r="AI798" s="730">
        <v>0.92060000000000897</v>
      </c>
      <c r="AJ798" s="731">
        <v>55.49</v>
      </c>
    </row>
    <row r="799" spans="35:36" ht="15" x14ac:dyDescent="0.2">
      <c r="AI799" s="730">
        <v>0.92050000000000898</v>
      </c>
      <c r="AJ799" s="731">
        <v>55.54</v>
      </c>
    </row>
    <row r="800" spans="35:36" ht="15" x14ac:dyDescent="0.2">
      <c r="AI800" s="730">
        <v>0.92040000000000899</v>
      </c>
      <c r="AJ800" s="731">
        <v>55.58</v>
      </c>
    </row>
    <row r="801" spans="35:36" ht="15" x14ac:dyDescent="0.2">
      <c r="AI801" s="730">
        <v>0.920300000000009</v>
      </c>
      <c r="AJ801" s="731">
        <v>55.63</v>
      </c>
    </row>
    <row r="802" spans="35:36" ht="15" x14ac:dyDescent="0.2">
      <c r="AI802" s="730">
        <v>0.92020000000000901</v>
      </c>
      <c r="AJ802" s="731">
        <v>55.68</v>
      </c>
    </row>
    <row r="803" spans="35:36" ht="15" x14ac:dyDescent="0.2">
      <c r="AI803" s="730">
        <v>0.92010000000000902</v>
      </c>
      <c r="AJ803" s="731">
        <v>55.72</v>
      </c>
    </row>
    <row r="804" spans="35:36" ht="15" x14ac:dyDescent="0.2">
      <c r="AI804" s="730">
        <v>0.92000000000000903</v>
      </c>
      <c r="AJ804" s="731">
        <v>55.77</v>
      </c>
    </row>
    <row r="805" spans="35:36" ht="15" x14ac:dyDescent="0.2">
      <c r="AI805" s="730">
        <v>0.91990000000000904</v>
      </c>
      <c r="AJ805" s="731">
        <v>55.82</v>
      </c>
    </row>
    <row r="806" spans="35:36" ht="15" x14ac:dyDescent="0.2">
      <c r="AI806" s="730">
        <v>0.91980000000000905</v>
      </c>
      <c r="AJ806" s="731">
        <v>55.87</v>
      </c>
    </row>
    <row r="807" spans="35:36" ht="15" x14ac:dyDescent="0.2">
      <c r="AI807" s="730">
        <v>0.91970000000000895</v>
      </c>
      <c r="AJ807" s="731">
        <v>55.91</v>
      </c>
    </row>
    <row r="808" spans="35:36" ht="15" x14ac:dyDescent="0.2">
      <c r="AI808" s="730">
        <v>0.91960000000000897</v>
      </c>
      <c r="AJ808" s="731">
        <v>55.96</v>
      </c>
    </row>
    <row r="809" spans="35:36" ht="15" x14ac:dyDescent="0.2">
      <c r="AI809" s="730">
        <v>0.91950000000000898</v>
      </c>
      <c r="AJ809" s="731">
        <v>56.01</v>
      </c>
    </row>
    <row r="810" spans="35:36" ht="15" x14ac:dyDescent="0.2">
      <c r="AI810" s="730">
        <v>0.91940000000000899</v>
      </c>
      <c r="AJ810" s="731">
        <v>56.05</v>
      </c>
    </row>
    <row r="811" spans="35:36" ht="15" x14ac:dyDescent="0.2">
      <c r="AI811" s="730">
        <v>0.919300000000009</v>
      </c>
      <c r="AJ811" s="731">
        <v>56.1</v>
      </c>
    </row>
    <row r="812" spans="35:36" ht="15" x14ac:dyDescent="0.2">
      <c r="AI812" s="730">
        <v>0.91920000000000901</v>
      </c>
      <c r="AJ812" s="731">
        <v>56.15</v>
      </c>
    </row>
    <row r="813" spans="35:36" ht="15" x14ac:dyDescent="0.2">
      <c r="AI813" s="730">
        <v>0.91910000000000902</v>
      </c>
      <c r="AJ813" s="731">
        <v>56.19</v>
      </c>
    </row>
    <row r="814" spans="35:36" ht="15" x14ac:dyDescent="0.2">
      <c r="AI814" s="730">
        <v>0.91900000000000903</v>
      </c>
      <c r="AJ814" s="731">
        <v>56.24</v>
      </c>
    </row>
    <row r="815" spans="35:36" ht="15" x14ac:dyDescent="0.2">
      <c r="AI815" s="730">
        <v>0.91890000000000904</v>
      </c>
      <c r="AJ815" s="731">
        <v>56.29</v>
      </c>
    </row>
    <row r="816" spans="35:36" ht="15" x14ac:dyDescent="0.2">
      <c r="AI816" s="730">
        <v>0.91880000000000905</v>
      </c>
      <c r="AJ816" s="731">
        <v>56.33</v>
      </c>
    </row>
    <row r="817" spans="35:36" ht="15" x14ac:dyDescent="0.2">
      <c r="AI817" s="730">
        <v>0.91870000000000895</v>
      </c>
      <c r="AJ817" s="731">
        <v>56.38</v>
      </c>
    </row>
    <row r="818" spans="35:36" ht="15" x14ac:dyDescent="0.2">
      <c r="AI818" s="730">
        <v>0.91860000000000896</v>
      </c>
      <c r="AJ818" s="731">
        <v>56.43</v>
      </c>
    </row>
    <row r="819" spans="35:36" ht="15" x14ac:dyDescent="0.2">
      <c r="AI819" s="730">
        <v>0.91850000000000898</v>
      </c>
      <c r="AJ819" s="731">
        <v>56.47</v>
      </c>
    </row>
    <row r="820" spans="35:36" ht="15" x14ac:dyDescent="0.2">
      <c r="AI820" s="730">
        <v>0.91840000000000899</v>
      </c>
      <c r="AJ820" s="731">
        <v>56.52</v>
      </c>
    </row>
    <row r="821" spans="35:36" ht="15" x14ac:dyDescent="0.2">
      <c r="AI821" s="730">
        <v>0.918300000000009</v>
      </c>
      <c r="AJ821" s="731">
        <v>56.57</v>
      </c>
    </row>
    <row r="822" spans="35:36" ht="15" x14ac:dyDescent="0.2">
      <c r="AI822" s="730">
        <v>0.91820000000000901</v>
      </c>
      <c r="AJ822" s="731">
        <v>56.61</v>
      </c>
    </row>
    <row r="823" spans="35:36" ht="15" x14ac:dyDescent="0.2">
      <c r="AI823" s="730">
        <v>0.91810000000000902</v>
      </c>
      <c r="AJ823" s="731">
        <v>56.66</v>
      </c>
    </row>
    <row r="824" spans="35:36" ht="15" x14ac:dyDescent="0.2">
      <c r="AI824" s="730">
        <v>0.91800000000000903</v>
      </c>
      <c r="AJ824" s="731">
        <v>56.71</v>
      </c>
    </row>
    <row r="825" spans="35:36" ht="15" x14ac:dyDescent="0.2">
      <c r="AI825" s="730">
        <v>0.91790000000000904</v>
      </c>
      <c r="AJ825" s="731">
        <v>56.75</v>
      </c>
    </row>
    <row r="826" spans="35:36" ht="15" x14ac:dyDescent="0.2">
      <c r="AI826" s="730">
        <v>0.91780000000000905</v>
      </c>
      <c r="AJ826" s="731">
        <v>56.8</v>
      </c>
    </row>
    <row r="827" spans="35:36" ht="15" x14ac:dyDescent="0.2">
      <c r="AI827" s="730">
        <v>0.91770000000000995</v>
      </c>
      <c r="AJ827" s="731">
        <v>56.85</v>
      </c>
    </row>
    <row r="828" spans="35:36" ht="15" x14ac:dyDescent="0.2">
      <c r="AI828" s="730">
        <v>0.91760000000000996</v>
      </c>
      <c r="AJ828" s="731">
        <v>56.9</v>
      </c>
    </row>
    <row r="829" spans="35:36" ht="15" x14ac:dyDescent="0.2">
      <c r="AI829" s="730">
        <v>0.91750000000000997</v>
      </c>
      <c r="AJ829" s="731">
        <v>56.94</v>
      </c>
    </row>
    <row r="830" spans="35:36" ht="15" x14ac:dyDescent="0.2">
      <c r="AI830" s="730">
        <v>0.91740000000000999</v>
      </c>
      <c r="AJ830" s="731">
        <v>56.99</v>
      </c>
    </row>
    <row r="831" spans="35:36" ht="15" x14ac:dyDescent="0.2">
      <c r="AI831" s="730">
        <v>0.91730000000001</v>
      </c>
      <c r="AJ831" s="731">
        <v>57.04</v>
      </c>
    </row>
    <row r="832" spans="35:36" ht="15" x14ac:dyDescent="0.2">
      <c r="AI832" s="730">
        <v>0.91720000000001001</v>
      </c>
      <c r="AJ832" s="731">
        <v>57.08</v>
      </c>
    </row>
    <row r="833" spans="35:36" ht="15" x14ac:dyDescent="0.2">
      <c r="AI833" s="730">
        <v>0.91710000000001002</v>
      </c>
      <c r="AJ833" s="731">
        <v>57.13</v>
      </c>
    </row>
    <row r="834" spans="35:36" ht="15" x14ac:dyDescent="0.2">
      <c r="AI834" s="730">
        <v>0.91700000000001003</v>
      </c>
      <c r="AJ834" s="731">
        <v>57.17</v>
      </c>
    </row>
    <row r="835" spans="35:36" ht="15" x14ac:dyDescent="0.2">
      <c r="AI835" s="730">
        <v>0.91690000000001004</v>
      </c>
      <c r="AJ835" s="731">
        <v>57.22</v>
      </c>
    </row>
    <row r="836" spans="35:36" ht="15" x14ac:dyDescent="0.2">
      <c r="AI836" s="730">
        <v>0.91680000000001005</v>
      </c>
      <c r="AJ836" s="731">
        <v>57.27</v>
      </c>
    </row>
    <row r="837" spans="35:36" ht="15" x14ac:dyDescent="0.2">
      <c r="AI837" s="730">
        <v>0.91670000000000995</v>
      </c>
      <c r="AJ837" s="731">
        <v>57.31</v>
      </c>
    </row>
    <row r="838" spans="35:36" ht="15" x14ac:dyDescent="0.2">
      <c r="AI838" s="730">
        <v>0.91660000000000996</v>
      </c>
      <c r="AJ838" s="731">
        <v>57.36</v>
      </c>
    </row>
    <row r="839" spans="35:36" ht="15" x14ac:dyDescent="0.2">
      <c r="AI839" s="730">
        <v>0.91650000000000997</v>
      </c>
      <c r="AJ839" s="731">
        <v>57.41</v>
      </c>
    </row>
    <row r="840" spans="35:36" ht="15" x14ac:dyDescent="0.2">
      <c r="AI840" s="730">
        <v>0.91640000000000998</v>
      </c>
      <c r="AJ840" s="731">
        <v>57.46</v>
      </c>
    </row>
    <row r="841" spans="35:36" ht="15" x14ac:dyDescent="0.2">
      <c r="AI841" s="730">
        <v>0.91630000000001</v>
      </c>
      <c r="AJ841" s="731">
        <v>57.5</v>
      </c>
    </row>
    <row r="842" spans="35:36" ht="15" x14ac:dyDescent="0.2">
      <c r="AI842" s="730">
        <v>0.91620000000001001</v>
      </c>
      <c r="AJ842" s="731">
        <v>57.55</v>
      </c>
    </row>
    <row r="843" spans="35:36" ht="15" x14ac:dyDescent="0.2">
      <c r="AI843" s="730">
        <v>0.91610000000001002</v>
      </c>
      <c r="AJ843" s="731">
        <v>57.59</v>
      </c>
    </row>
    <row r="844" spans="35:36" ht="15" x14ac:dyDescent="0.2">
      <c r="AI844" s="730">
        <v>0.91600000000001003</v>
      </c>
      <c r="AJ844" s="731">
        <v>57.64</v>
      </c>
    </row>
    <row r="845" spans="35:36" ht="15" x14ac:dyDescent="0.2">
      <c r="AI845" s="730">
        <v>0.91590000000001004</v>
      </c>
      <c r="AJ845" s="731">
        <v>57.69</v>
      </c>
    </row>
    <row r="846" spans="35:36" ht="15" x14ac:dyDescent="0.2">
      <c r="AI846" s="730">
        <v>0.91580000000001005</v>
      </c>
      <c r="AJ846" s="731">
        <v>57.73</v>
      </c>
    </row>
    <row r="847" spans="35:36" ht="15" x14ac:dyDescent="0.2">
      <c r="AI847" s="730">
        <v>0.91570000000000995</v>
      </c>
      <c r="AJ847" s="731">
        <v>57.78</v>
      </c>
    </row>
    <row r="848" spans="35:36" ht="15" x14ac:dyDescent="0.2">
      <c r="AI848" s="730">
        <v>0.91560000000000996</v>
      </c>
      <c r="AJ848" s="731">
        <v>57.82</v>
      </c>
    </row>
    <row r="849" spans="35:36" ht="15" x14ac:dyDescent="0.2">
      <c r="AI849" s="730">
        <v>0.91550000000000997</v>
      </c>
      <c r="AJ849" s="731">
        <v>57.87</v>
      </c>
    </row>
    <row r="850" spans="35:36" ht="15" x14ac:dyDescent="0.2">
      <c r="AI850" s="730">
        <v>0.91540000000000998</v>
      </c>
      <c r="AJ850" s="731">
        <v>57.91</v>
      </c>
    </row>
    <row r="851" spans="35:36" ht="15" x14ac:dyDescent="0.2">
      <c r="AI851" s="730">
        <v>0.91530000000000999</v>
      </c>
      <c r="AJ851" s="731">
        <v>57.96</v>
      </c>
    </row>
    <row r="852" spans="35:36" ht="15" x14ac:dyDescent="0.2">
      <c r="AI852" s="730">
        <v>0.91520000000001001</v>
      </c>
      <c r="AJ852" s="731">
        <v>58</v>
      </c>
    </row>
    <row r="853" spans="35:36" ht="15" x14ac:dyDescent="0.2">
      <c r="AI853" s="730">
        <v>0.91510000000001002</v>
      </c>
      <c r="AJ853" s="731">
        <v>58.05</v>
      </c>
    </row>
    <row r="854" spans="35:36" ht="15" x14ac:dyDescent="0.2">
      <c r="AI854" s="730">
        <v>0.91500000000001003</v>
      </c>
      <c r="AJ854" s="731">
        <v>58.1</v>
      </c>
    </row>
    <row r="855" spans="35:36" ht="15" x14ac:dyDescent="0.2">
      <c r="AI855" s="730">
        <v>0.91490000000001004</v>
      </c>
      <c r="AJ855" s="731">
        <v>58.14</v>
      </c>
    </row>
    <row r="856" spans="35:36" ht="15" x14ac:dyDescent="0.2">
      <c r="AI856" s="730">
        <v>0.91480000000001005</v>
      </c>
      <c r="AJ856" s="731">
        <v>58.19</v>
      </c>
    </row>
    <row r="857" spans="35:36" ht="15" x14ac:dyDescent="0.2">
      <c r="AI857" s="730">
        <v>0.91470000000000995</v>
      </c>
      <c r="AJ857" s="731">
        <v>58.23</v>
      </c>
    </row>
    <row r="858" spans="35:36" ht="15" x14ac:dyDescent="0.2">
      <c r="AI858" s="730">
        <v>0.91460000000000996</v>
      </c>
      <c r="AJ858" s="731">
        <v>58.28</v>
      </c>
    </row>
    <row r="859" spans="35:36" ht="15" x14ac:dyDescent="0.2">
      <c r="AI859" s="730">
        <v>0.91450000000000997</v>
      </c>
      <c r="AJ859" s="731">
        <v>58.32</v>
      </c>
    </row>
    <row r="860" spans="35:36" ht="15" x14ac:dyDescent="0.2">
      <c r="AI860" s="730">
        <v>0.91440000000000998</v>
      </c>
      <c r="AJ860" s="731">
        <v>58.37</v>
      </c>
    </row>
    <row r="861" spans="35:36" ht="15" x14ac:dyDescent="0.2">
      <c r="AI861" s="730">
        <v>0.91430000000000999</v>
      </c>
      <c r="AJ861" s="731">
        <v>58.41</v>
      </c>
    </row>
    <row r="862" spans="35:36" ht="15" x14ac:dyDescent="0.2">
      <c r="AI862" s="730">
        <v>0.91420000000001</v>
      </c>
      <c r="AJ862" s="731">
        <v>58.46</v>
      </c>
    </row>
    <row r="863" spans="35:36" ht="15" x14ac:dyDescent="0.2">
      <c r="AI863" s="730">
        <v>0.91410000000001002</v>
      </c>
      <c r="AJ863" s="731">
        <v>58.5</v>
      </c>
    </row>
    <row r="864" spans="35:36" ht="15" x14ac:dyDescent="0.2">
      <c r="AI864" s="730">
        <v>0.91400000000001003</v>
      </c>
      <c r="AJ864" s="731">
        <v>58.55</v>
      </c>
    </row>
    <row r="865" spans="35:36" ht="15" x14ac:dyDescent="0.2">
      <c r="AI865" s="730">
        <v>0.91390000000001004</v>
      </c>
      <c r="AJ865" s="731">
        <v>58.59</v>
      </c>
    </row>
    <row r="866" spans="35:36" ht="15" x14ac:dyDescent="0.2">
      <c r="AI866" s="730">
        <v>0.91380000000001005</v>
      </c>
      <c r="AJ866" s="731">
        <v>58.64</v>
      </c>
    </row>
    <row r="867" spans="35:36" ht="15" x14ac:dyDescent="0.2">
      <c r="AI867" s="730">
        <v>0.91370000000000995</v>
      </c>
      <c r="AJ867" s="731">
        <v>58.68</v>
      </c>
    </row>
    <row r="868" spans="35:36" ht="15" x14ac:dyDescent="0.2">
      <c r="AI868" s="730">
        <v>0.91360000000000996</v>
      </c>
      <c r="AJ868" s="731">
        <v>58.73</v>
      </c>
    </row>
    <row r="869" spans="35:36" ht="15" x14ac:dyDescent="0.2">
      <c r="AI869" s="730">
        <v>0.91350000000000997</v>
      </c>
      <c r="AJ869" s="731">
        <v>58.77</v>
      </c>
    </row>
    <row r="870" spans="35:36" ht="15" x14ac:dyDescent="0.2">
      <c r="AI870" s="730">
        <v>0.91340000000000998</v>
      </c>
      <c r="AJ870" s="731">
        <v>58.82</v>
      </c>
    </row>
    <row r="871" spans="35:36" ht="15" x14ac:dyDescent="0.2">
      <c r="AI871" s="730">
        <v>0.91330000000000999</v>
      </c>
      <c r="AJ871" s="731">
        <v>58.86</v>
      </c>
    </row>
    <row r="872" spans="35:36" ht="15" x14ac:dyDescent="0.2">
      <c r="AI872" s="730">
        <v>0.91320000000001</v>
      </c>
      <c r="AJ872" s="731">
        <v>58.91</v>
      </c>
    </row>
    <row r="873" spans="35:36" ht="15" x14ac:dyDescent="0.2">
      <c r="AI873" s="730">
        <v>0.91310000000001001</v>
      </c>
      <c r="AJ873" s="731">
        <v>58.95</v>
      </c>
    </row>
    <row r="874" spans="35:36" ht="15" x14ac:dyDescent="0.2">
      <c r="AI874" s="730">
        <v>0.91300000000001003</v>
      </c>
      <c r="AJ874" s="731">
        <v>59</v>
      </c>
    </row>
    <row r="875" spans="35:36" ht="15" x14ac:dyDescent="0.2">
      <c r="AI875" s="730">
        <v>0.91290000000001004</v>
      </c>
      <c r="AJ875" s="731">
        <v>59.04</v>
      </c>
    </row>
    <row r="876" spans="35:36" ht="15" x14ac:dyDescent="0.2">
      <c r="AI876" s="730">
        <v>0.91280000000001005</v>
      </c>
      <c r="AJ876" s="731">
        <v>59.09</v>
      </c>
    </row>
    <row r="877" spans="35:36" ht="15" x14ac:dyDescent="0.2">
      <c r="AI877" s="730">
        <v>0.91270000000000995</v>
      </c>
      <c r="AJ877" s="731">
        <v>59.13</v>
      </c>
    </row>
    <row r="878" spans="35:36" ht="15" x14ac:dyDescent="0.2">
      <c r="AI878" s="730">
        <v>0.91260000000000996</v>
      </c>
      <c r="AJ878" s="731">
        <v>59.18</v>
      </c>
    </row>
    <row r="879" spans="35:36" ht="15" x14ac:dyDescent="0.2">
      <c r="AI879" s="730">
        <v>0.91250000000000997</v>
      </c>
      <c r="AJ879" s="731">
        <v>59.22</v>
      </c>
    </row>
    <row r="880" spans="35:36" ht="15" x14ac:dyDescent="0.2">
      <c r="AI880" s="730">
        <v>0.91240000000000998</v>
      </c>
      <c r="AJ880" s="731">
        <v>59.27</v>
      </c>
    </row>
    <row r="881" spans="35:36" ht="15" x14ac:dyDescent="0.2">
      <c r="AI881" s="730">
        <v>0.91230000000000999</v>
      </c>
      <c r="AJ881" s="731">
        <v>59.31</v>
      </c>
    </row>
    <row r="882" spans="35:36" ht="15" x14ac:dyDescent="0.2">
      <c r="AI882" s="730">
        <v>0.91220000000001</v>
      </c>
      <c r="AJ882" s="731">
        <v>59.36</v>
      </c>
    </row>
    <row r="883" spans="35:36" ht="15" x14ac:dyDescent="0.2">
      <c r="AI883" s="730">
        <v>0.91210000000001001</v>
      </c>
      <c r="AJ883" s="731">
        <v>59.4</v>
      </c>
    </row>
    <row r="884" spans="35:36" ht="15" x14ac:dyDescent="0.2">
      <c r="AI884" s="730">
        <v>0.91200000000001002</v>
      </c>
      <c r="AJ884" s="731">
        <v>59.45</v>
      </c>
    </row>
    <row r="885" spans="35:36" ht="15" x14ac:dyDescent="0.2">
      <c r="AI885" s="730">
        <v>0.91190000000001004</v>
      </c>
      <c r="AJ885" s="731">
        <v>59.49</v>
      </c>
    </row>
    <row r="886" spans="35:36" ht="15" x14ac:dyDescent="0.2">
      <c r="AI886" s="730">
        <v>0.91180000000001005</v>
      </c>
      <c r="AJ886" s="731">
        <v>59.54</v>
      </c>
    </row>
    <row r="887" spans="35:36" ht="15" x14ac:dyDescent="0.2">
      <c r="AI887" s="730">
        <v>0.91170000000000995</v>
      </c>
      <c r="AJ887" s="731">
        <v>59.58</v>
      </c>
    </row>
    <row r="888" spans="35:36" ht="15" x14ac:dyDescent="0.2">
      <c r="AI888" s="730">
        <v>0.91160000000000996</v>
      </c>
      <c r="AJ888" s="731">
        <v>59.63</v>
      </c>
    </row>
    <row r="889" spans="35:36" ht="15" x14ac:dyDescent="0.2">
      <c r="AI889" s="730">
        <v>0.91150000000000997</v>
      </c>
      <c r="AJ889" s="731">
        <v>59.67</v>
      </c>
    </row>
    <row r="890" spans="35:36" ht="15" x14ac:dyDescent="0.2">
      <c r="AI890" s="730">
        <v>0.91140000000000998</v>
      </c>
      <c r="AJ890" s="731">
        <v>59.72</v>
      </c>
    </row>
    <row r="891" spans="35:36" ht="15" x14ac:dyDescent="0.2">
      <c r="AI891" s="730">
        <v>0.91130000000000999</v>
      </c>
      <c r="AJ891" s="731">
        <v>59.76</v>
      </c>
    </row>
    <row r="892" spans="35:36" ht="15" x14ac:dyDescent="0.2">
      <c r="AI892" s="730">
        <v>0.91120000000001</v>
      </c>
      <c r="AJ892" s="731">
        <v>59.8</v>
      </c>
    </row>
    <row r="893" spans="35:36" ht="15" x14ac:dyDescent="0.2">
      <c r="AI893" s="730">
        <v>0.91110000000001001</v>
      </c>
      <c r="AJ893" s="731">
        <v>59.85</v>
      </c>
    </row>
    <row r="894" spans="35:36" ht="15" x14ac:dyDescent="0.2">
      <c r="AI894" s="730">
        <v>0.91100000000001002</v>
      </c>
      <c r="AJ894" s="731">
        <v>59.89</v>
      </c>
    </row>
    <row r="895" spans="35:36" ht="15" x14ac:dyDescent="0.2">
      <c r="AI895" s="730">
        <v>0.91090000000001003</v>
      </c>
      <c r="AJ895" s="731">
        <v>59.94</v>
      </c>
    </row>
    <row r="896" spans="35:36" ht="15" x14ac:dyDescent="0.2">
      <c r="AI896" s="730">
        <v>0.91080000000001005</v>
      </c>
      <c r="AJ896" s="731">
        <v>59.98</v>
      </c>
    </row>
    <row r="897" spans="35:36" ht="15" x14ac:dyDescent="0.2">
      <c r="AI897" s="730">
        <v>0.91070000000000995</v>
      </c>
      <c r="AJ897" s="731">
        <v>60.03</v>
      </c>
    </row>
    <row r="898" spans="35:36" ht="15" x14ac:dyDescent="0.2">
      <c r="AI898" s="730">
        <v>0.91060000000000996</v>
      </c>
      <c r="AJ898" s="731">
        <v>60.07</v>
      </c>
    </row>
    <row r="899" spans="35:36" ht="15" x14ac:dyDescent="0.2">
      <c r="AI899" s="730">
        <v>0.91050000000000997</v>
      </c>
      <c r="AJ899" s="731">
        <v>60.12</v>
      </c>
    </row>
    <row r="900" spans="35:36" ht="15" x14ac:dyDescent="0.2">
      <c r="AI900" s="730">
        <v>0.91040000000000998</v>
      </c>
      <c r="AJ900" s="731">
        <v>60.16</v>
      </c>
    </row>
    <row r="901" spans="35:36" ht="15" x14ac:dyDescent="0.2">
      <c r="AI901" s="730">
        <v>0.91030000000000999</v>
      </c>
      <c r="AJ901" s="731">
        <v>60.21</v>
      </c>
    </row>
    <row r="902" spans="35:36" ht="15" x14ac:dyDescent="0.2">
      <c r="AI902" s="730">
        <v>0.91020000000001</v>
      </c>
      <c r="AJ902" s="731">
        <v>60.25</v>
      </c>
    </row>
    <row r="903" spans="35:36" ht="15" x14ac:dyDescent="0.2">
      <c r="AI903" s="730">
        <v>0.91010000000001001</v>
      </c>
      <c r="AJ903" s="731">
        <v>60.3</v>
      </c>
    </row>
    <row r="904" spans="35:36" ht="15" x14ac:dyDescent="0.2">
      <c r="AI904" s="730">
        <v>0.91000000000001002</v>
      </c>
      <c r="AJ904" s="731">
        <v>60.34</v>
      </c>
    </row>
    <row r="905" spans="35:36" ht="15" x14ac:dyDescent="0.2">
      <c r="AI905" s="730">
        <v>0.90990000000001003</v>
      </c>
      <c r="AJ905" s="731">
        <v>60.38</v>
      </c>
    </row>
    <row r="906" spans="35:36" ht="15" x14ac:dyDescent="0.2">
      <c r="AI906" s="730">
        <v>0.90980000000001005</v>
      </c>
      <c r="AJ906" s="731">
        <v>60.43</v>
      </c>
    </row>
    <row r="907" spans="35:36" ht="15" x14ac:dyDescent="0.2">
      <c r="AI907" s="730">
        <v>0.90970000000000995</v>
      </c>
      <c r="AJ907" s="731">
        <v>60.47</v>
      </c>
    </row>
    <row r="908" spans="35:36" ht="15" x14ac:dyDescent="0.2">
      <c r="AI908" s="730">
        <v>0.90960000000000996</v>
      </c>
      <c r="AJ908" s="731">
        <v>60.52</v>
      </c>
    </row>
    <row r="909" spans="35:36" ht="15" x14ac:dyDescent="0.2">
      <c r="AI909" s="730">
        <v>0.90950000000000997</v>
      </c>
      <c r="AJ909" s="731">
        <v>60.56</v>
      </c>
    </row>
    <row r="910" spans="35:36" ht="15" x14ac:dyDescent="0.2">
      <c r="AI910" s="730">
        <v>0.90940000000000998</v>
      </c>
      <c r="AJ910" s="731">
        <v>60.61</v>
      </c>
    </row>
    <row r="911" spans="35:36" ht="15" x14ac:dyDescent="0.2">
      <c r="AI911" s="730">
        <v>0.90930000000000999</v>
      </c>
      <c r="AJ911" s="731">
        <v>60.65</v>
      </c>
    </row>
    <row r="912" spans="35:36" ht="15" x14ac:dyDescent="0.2">
      <c r="AI912" s="730">
        <v>0.90920000000001</v>
      </c>
      <c r="AJ912" s="731">
        <v>60.69</v>
      </c>
    </row>
    <row r="913" spans="35:36" ht="15" x14ac:dyDescent="0.2">
      <c r="AI913" s="730">
        <v>0.90910000000001001</v>
      </c>
      <c r="AJ913" s="731">
        <v>60.74</v>
      </c>
    </row>
    <row r="914" spans="35:36" ht="15" x14ac:dyDescent="0.2">
      <c r="AI914" s="730">
        <v>0.90900000000001002</v>
      </c>
      <c r="AJ914" s="731">
        <v>60.78</v>
      </c>
    </row>
    <row r="915" spans="35:36" ht="15" x14ac:dyDescent="0.2">
      <c r="AI915" s="730">
        <v>0.90890000000001003</v>
      </c>
      <c r="AJ915" s="731">
        <v>60.83</v>
      </c>
    </row>
    <row r="916" spans="35:36" ht="15" x14ac:dyDescent="0.2">
      <c r="AI916" s="730">
        <v>0.90880000000001004</v>
      </c>
      <c r="AJ916" s="731">
        <v>60.87</v>
      </c>
    </row>
    <row r="917" spans="35:36" ht="15" x14ac:dyDescent="0.2">
      <c r="AI917" s="730">
        <v>0.90870000000001006</v>
      </c>
      <c r="AJ917" s="731">
        <v>60.92</v>
      </c>
    </row>
    <row r="918" spans="35:36" ht="15" x14ac:dyDescent="0.2">
      <c r="AI918" s="730">
        <v>0.90860000000001095</v>
      </c>
      <c r="AJ918" s="731">
        <v>60.96</v>
      </c>
    </row>
    <row r="919" spans="35:36" ht="15" x14ac:dyDescent="0.2">
      <c r="AI919" s="730">
        <v>0.90850000000001097</v>
      </c>
      <c r="AJ919" s="731">
        <v>61</v>
      </c>
    </row>
    <row r="920" spans="35:36" ht="15" x14ac:dyDescent="0.2">
      <c r="AI920" s="730">
        <v>0.90840000000001098</v>
      </c>
      <c r="AJ920" s="731">
        <v>61.05</v>
      </c>
    </row>
    <row r="921" spans="35:36" ht="15" x14ac:dyDescent="0.2">
      <c r="AI921" s="730">
        <v>0.90830000000001099</v>
      </c>
      <c r="AJ921" s="731">
        <v>61.09</v>
      </c>
    </row>
    <row r="922" spans="35:36" ht="15" x14ac:dyDescent="0.2">
      <c r="AI922" s="730">
        <v>0.908200000000011</v>
      </c>
      <c r="AJ922" s="731">
        <v>61.14</v>
      </c>
    </row>
    <row r="923" spans="35:36" ht="15" x14ac:dyDescent="0.2">
      <c r="AI923" s="730">
        <v>0.90810000000001101</v>
      </c>
      <c r="AJ923" s="731">
        <v>61.18</v>
      </c>
    </row>
    <row r="924" spans="35:36" ht="15" x14ac:dyDescent="0.2">
      <c r="AI924" s="730">
        <v>0.90800000000001102</v>
      </c>
      <c r="AJ924" s="731">
        <v>61.22</v>
      </c>
    </row>
    <row r="925" spans="35:36" ht="15" x14ac:dyDescent="0.2">
      <c r="AI925" s="730">
        <v>0.90790000000001103</v>
      </c>
      <c r="AJ925" s="731">
        <v>61.27</v>
      </c>
    </row>
    <row r="926" spans="35:36" ht="15" x14ac:dyDescent="0.2">
      <c r="AI926" s="730">
        <v>0.90780000000001104</v>
      </c>
      <c r="AJ926" s="731">
        <v>61.31</v>
      </c>
    </row>
    <row r="927" spans="35:36" ht="15" x14ac:dyDescent="0.2">
      <c r="AI927" s="730">
        <v>0.90770000000001105</v>
      </c>
      <c r="AJ927" s="731">
        <v>61.36</v>
      </c>
    </row>
    <row r="928" spans="35:36" ht="15" x14ac:dyDescent="0.2">
      <c r="AI928" s="730">
        <v>0.90760000000001095</v>
      </c>
      <c r="AJ928" s="731">
        <v>61.4</v>
      </c>
    </row>
    <row r="929" spans="35:36" ht="15" x14ac:dyDescent="0.2">
      <c r="AI929" s="730">
        <v>0.90750000000001096</v>
      </c>
      <c r="AJ929" s="731">
        <v>61.44</v>
      </c>
    </row>
    <row r="930" spans="35:36" ht="15" x14ac:dyDescent="0.2">
      <c r="AI930" s="730">
        <v>0.90740000000001098</v>
      </c>
      <c r="AJ930" s="731">
        <v>61.49</v>
      </c>
    </row>
    <row r="931" spans="35:36" ht="15" x14ac:dyDescent="0.2">
      <c r="AI931" s="730">
        <v>0.90730000000001099</v>
      </c>
      <c r="AJ931" s="731">
        <v>61.53</v>
      </c>
    </row>
    <row r="932" spans="35:36" ht="15" x14ac:dyDescent="0.2">
      <c r="AI932" s="730">
        <v>0.907200000000011</v>
      </c>
      <c r="AJ932" s="731">
        <v>61.58</v>
      </c>
    </row>
    <row r="933" spans="35:36" ht="15" x14ac:dyDescent="0.2">
      <c r="AI933" s="730">
        <v>0.90710000000001101</v>
      </c>
      <c r="AJ933" s="731">
        <v>61.62</v>
      </c>
    </row>
    <row r="934" spans="35:36" ht="15" x14ac:dyDescent="0.2">
      <c r="AI934" s="730">
        <v>0.90700000000001102</v>
      </c>
      <c r="AJ934" s="731">
        <v>61.66</v>
      </c>
    </row>
    <row r="935" spans="35:36" ht="15" x14ac:dyDescent="0.2">
      <c r="AI935" s="730">
        <v>0.90690000000001103</v>
      </c>
      <c r="AJ935" s="731">
        <v>61.71</v>
      </c>
    </row>
    <row r="936" spans="35:36" ht="15" x14ac:dyDescent="0.2">
      <c r="AI936" s="730">
        <v>0.90680000000001104</v>
      </c>
      <c r="AJ936" s="731">
        <v>61.75</v>
      </c>
    </row>
    <row r="937" spans="35:36" ht="15" x14ac:dyDescent="0.2">
      <c r="AI937" s="730">
        <v>0.90670000000001105</v>
      </c>
      <c r="AJ937" s="731">
        <v>61.79</v>
      </c>
    </row>
    <row r="938" spans="35:36" ht="15" x14ac:dyDescent="0.2">
      <c r="AI938" s="730">
        <v>0.90660000000001095</v>
      </c>
      <c r="AJ938" s="731">
        <v>61.84</v>
      </c>
    </row>
    <row r="939" spans="35:36" ht="15" x14ac:dyDescent="0.2">
      <c r="AI939" s="730">
        <v>0.90650000000001096</v>
      </c>
      <c r="AJ939" s="731">
        <v>61.88</v>
      </c>
    </row>
    <row r="940" spans="35:36" ht="15" x14ac:dyDescent="0.2">
      <c r="AI940" s="730">
        <v>0.90640000000001097</v>
      </c>
      <c r="AJ940" s="731">
        <v>61.93</v>
      </c>
    </row>
    <row r="941" spans="35:36" ht="15" x14ac:dyDescent="0.2">
      <c r="AI941" s="730">
        <v>0.90630000000001099</v>
      </c>
      <c r="AJ941" s="731">
        <v>61.97</v>
      </c>
    </row>
    <row r="942" spans="35:36" ht="15" x14ac:dyDescent="0.2">
      <c r="AI942" s="730">
        <v>0.906200000000011</v>
      </c>
      <c r="AJ942" s="731">
        <v>62.01</v>
      </c>
    </row>
    <row r="943" spans="35:36" ht="15" x14ac:dyDescent="0.2">
      <c r="AI943" s="730">
        <v>0.90610000000001101</v>
      </c>
      <c r="AJ943" s="731">
        <v>62.06</v>
      </c>
    </row>
    <row r="944" spans="35:36" ht="15" x14ac:dyDescent="0.2">
      <c r="AI944" s="730">
        <v>0.90600000000001102</v>
      </c>
      <c r="AJ944" s="731">
        <v>62.1</v>
      </c>
    </row>
    <row r="945" spans="35:36" ht="15" x14ac:dyDescent="0.2">
      <c r="AI945" s="730">
        <v>0.90590000000001103</v>
      </c>
      <c r="AJ945" s="731">
        <v>62.14</v>
      </c>
    </row>
    <row r="946" spans="35:36" ht="15" x14ac:dyDescent="0.2">
      <c r="AI946" s="730">
        <v>0.90580000000001104</v>
      </c>
      <c r="AJ946" s="731">
        <v>62.19</v>
      </c>
    </row>
    <row r="947" spans="35:36" ht="15" x14ac:dyDescent="0.2">
      <c r="AI947" s="730">
        <v>0.90570000000001105</v>
      </c>
      <c r="AJ947" s="731">
        <v>62.23</v>
      </c>
    </row>
    <row r="948" spans="35:36" ht="15" x14ac:dyDescent="0.2">
      <c r="AI948" s="730">
        <v>0.90560000000001095</v>
      </c>
      <c r="AJ948" s="731">
        <v>62.27</v>
      </c>
    </row>
    <row r="949" spans="35:36" ht="15" x14ac:dyDescent="0.2">
      <c r="AI949" s="730">
        <v>0.90550000000001096</v>
      </c>
      <c r="AJ949" s="731">
        <v>62.32</v>
      </c>
    </row>
    <row r="950" spans="35:36" ht="15" x14ac:dyDescent="0.2">
      <c r="AI950" s="730">
        <v>0.90540000000001097</v>
      </c>
      <c r="AJ950" s="731">
        <v>62.36</v>
      </c>
    </row>
    <row r="951" spans="35:36" ht="15" x14ac:dyDescent="0.2">
      <c r="AI951" s="730">
        <v>0.90530000000001098</v>
      </c>
      <c r="AJ951" s="731">
        <v>62.4</v>
      </c>
    </row>
    <row r="952" spans="35:36" ht="15" x14ac:dyDescent="0.2">
      <c r="AI952" s="730">
        <v>0.905200000000011</v>
      </c>
      <c r="AJ952" s="731">
        <v>62.45</v>
      </c>
    </row>
    <row r="953" spans="35:36" ht="15" x14ac:dyDescent="0.2">
      <c r="AI953" s="730">
        <v>0.90510000000001101</v>
      </c>
      <c r="AJ953" s="731">
        <v>62.49</v>
      </c>
    </row>
    <row r="954" spans="35:36" ht="15" x14ac:dyDescent="0.2">
      <c r="AI954" s="730">
        <v>0.90500000000001102</v>
      </c>
      <c r="AJ954" s="731">
        <v>62.53</v>
      </c>
    </row>
    <row r="955" spans="35:36" ht="15" x14ac:dyDescent="0.2">
      <c r="AI955" s="730">
        <v>0.90490000000001103</v>
      </c>
      <c r="AJ955" s="731">
        <v>62.58</v>
      </c>
    </row>
    <row r="956" spans="35:36" ht="15" x14ac:dyDescent="0.2">
      <c r="AI956" s="730">
        <v>0.90480000000001104</v>
      </c>
      <c r="AJ956" s="731">
        <v>62.62</v>
      </c>
    </row>
    <row r="957" spans="35:36" ht="15" x14ac:dyDescent="0.2">
      <c r="AI957" s="730">
        <v>0.90470000000001105</v>
      </c>
      <c r="AJ957" s="731">
        <v>62.66</v>
      </c>
    </row>
    <row r="958" spans="35:36" ht="15" x14ac:dyDescent="0.2">
      <c r="AI958" s="730">
        <v>0.90460000000001095</v>
      </c>
      <c r="AJ958" s="731">
        <v>62.71</v>
      </c>
    </row>
    <row r="959" spans="35:36" ht="15" x14ac:dyDescent="0.2">
      <c r="AI959" s="730">
        <v>0.90450000000001096</v>
      </c>
      <c r="AJ959" s="731">
        <v>62.75</v>
      </c>
    </row>
    <row r="960" spans="35:36" ht="15" x14ac:dyDescent="0.2">
      <c r="AI960" s="730">
        <v>0.90440000000001097</v>
      </c>
      <c r="AJ960" s="731">
        <v>62.8</v>
      </c>
    </row>
    <row r="961" spans="35:36" ht="15" x14ac:dyDescent="0.2">
      <c r="AI961" s="730">
        <v>0.90430000000001098</v>
      </c>
      <c r="AJ961" s="731">
        <v>62.84</v>
      </c>
    </row>
    <row r="962" spans="35:36" ht="15" x14ac:dyDescent="0.2">
      <c r="AI962" s="730">
        <v>0.90420000000001099</v>
      </c>
      <c r="AJ962" s="731">
        <v>62.88</v>
      </c>
    </row>
    <row r="963" spans="35:36" ht="15" x14ac:dyDescent="0.2">
      <c r="AI963" s="730">
        <v>0.90410000000001101</v>
      </c>
      <c r="AJ963" s="731">
        <v>62.93</v>
      </c>
    </row>
    <row r="964" spans="35:36" ht="15" x14ac:dyDescent="0.2">
      <c r="AI964" s="730">
        <v>0.90400000000001102</v>
      </c>
      <c r="AJ964" s="731">
        <v>62.97</v>
      </c>
    </row>
    <row r="965" spans="35:36" ht="15" x14ac:dyDescent="0.2">
      <c r="AI965" s="730">
        <v>0.90390000000001103</v>
      </c>
      <c r="AJ965" s="731">
        <v>63.01</v>
      </c>
    </row>
    <row r="966" spans="35:36" ht="15" x14ac:dyDescent="0.2">
      <c r="AI966" s="730">
        <v>0.90380000000001104</v>
      </c>
      <c r="AJ966" s="731">
        <v>63.06</v>
      </c>
    </row>
    <row r="967" spans="35:36" ht="15" x14ac:dyDescent="0.2">
      <c r="AI967" s="730">
        <v>0.90370000000001105</v>
      </c>
      <c r="AJ967" s="731">
        <v>63.1</v>
      </c>
    </row>
    <row r="968" spans="35:36" ht="15" x14ac:dyDescent="0.2">
      <c r="AI968" s="730">
        <v>0.90360000000001095</v>
      </c>
      <c r="AJ968" s="731">
        <v>63.14</v>
      </c>
    </row>
    <row r="969" spans="35:36" ht="15" x14ac:dyDescent="0.2">
      <c r="AI969" s="730">
        <v>0.90350000000001096</v>
      </c>
      <c r="AJ969" s="731">
        <v>63.19</v>
      </c>
    </row>
    <row r="970" spans="35:36" ht="15" x14ac:dyDescent="0.2">
      <c r="AI970" s="730">
        <v>0.90340000000001097</v>
      </c>
      <c r="AJ970" s="731">
        <v>63.23</v>
      </c>
    </row>
    <row r="971" spans="35:36" ht="15" x14ac:dyDescent="0.2">
      <c r="AI971" s="730">
        <v>0.90330000000001098</v>
      </c>
      <c r="AJ971" s="731">
        <v>63.27</v>
      </c>
    </row>
    <row r="972" spans="35:36" ht="15" x14ac:dyDescent="0.2">
      <c r="AI972" s="730">
        <v>0.90320000000001099</v>
      </c>
      <c r="AJ972" s="731">
        <v>63.31</v>
      </c>
    </row>
    <row r="973" spans="35:36" ht="15" x14ac:dyDescent="0.2">
      <c r="AI973" s="730">
        <v>0.90310000000001101</v>
      </c>
      <c r="AJ973" s="731">
        <v>63.36</v>
      </c>
    </row>
    <row r="974" spans="35:36" ht="15" x14ac:dyDescent="0.2">
      <c r="AI974" s="730">
        <v>0.90300000000001102</v>
      </c>
      <c r="AJ974" s="731">
        <v>63.4</v>
      </c>
    </row>
    <row r="975" spans="35:36" ht="15" x14ac:dyDescent="0.2">
      <c r="AI975" s="730">
        <v>0.90290000000001103</v>
      </c>
      <c r="AJ975" s="731">
        <v>63.44</v>
      </c>
    </row>
    <row r="976" spans="35:36" ht="15" x14ac:dyDescent="0.2">
      <c r="AI976" s="730">
        <v>0.90280000000001104</v>
      </c>
      <c r="AJ976" s="731">
        <v>63.49</v>
      </c>
    </row>
    <row r="977" spans="35:36" ht="15" x14ac:dyDescent="0.2">
      <c r="AI977" s="730">
        <v>0.90270000000001105</v>
      </c>
      <c r="AJ977" s="731">
        <v>63.53</v>
      </c>
    </row>
    <row r="978" spans="35:36" ht="15" x14ac:dyDescent="0.2">
      <c r="AI978" s="730">
        <v>0.90260000000001095</v>
      </c>
      <c r="AJ978" s="731">
        <v>63.57</v>
      </c>
    </row>
    <row r="979" spans="35:36" ht="15" x14ac:dyDescent="0.2">
      <c r="AI979" s="730">
        <v>0.90250000000001096</v>
      </c>
      <c r="AJ979" s="731">
        <v>63.62</v>
      </c>
    </row>
    <row r="980" spans="35:36" ht="15" x14ac:dyDescent="0.2">
      <c r="AI980" s="730">
        <v>0.90240000000001097</v>
      </c>
      <c r="AJ980" s="731">
        <v>63.66</v>
      </c>
    </row>
    <row r="981" spans="35:36" ht="15" x14ac:dyDescent="0.2">
      <c r="AI981" s="730">
        <v>0.90230000000001098</v>
      </c>
      <c r="AJ981" s="731">
        <v>63.7</v>
      </c>
    </row>
    <row r="982" spans="35:36" ht="15" x14ac:dyDescent="0.2">
      <c r="AI982" s="730">
        <v>0.90220000000001099</v>
      </c>
      <c r="AJ982" s="731">
        <v>63.75</v>
      </c>
    </row>
    <row r="983" spans="35:36" ht="15" x14ac:dyDescent="0.2">
      <c r="AI983" s="730">
        <v>0.902100000000011</v>
      </c>
      <c r="AJ983" s="731">
        <v>63.79</v>
      </c>
    </row>
    <row r="984" spans="35:36" ht="15" x14ac:dyDescent="0.2">
      <c r="AI984" s="730">
        <v>0.90200000000001102</v>
      </c>
      <c r="AJ984" s="731">
        <v>63.83</v>
      </c>
    </row>
    <row r="985" spans="35:36" ht="15" x14ac:dyDescent="0.2">
      <c r="AI985" s="730">
        <v>0.90190000000001103</v>
      </c>
      <c r="AJ985" s="731">
        <v>63.88</v>
      </c>
    </row>
    <row r="986" spans="35:36" ht="15" x14ac:dyDescent="0.2">
      <c r="AI986" s="730">
        <v>0.90180000000001104</v>
      </c>
      <c r="AJ986" s="731">
        <v>63.92</v>
      </c>
    </row>
    <row r="987" spans="35:36" ht="15" x14ac:dyDescent="0.2">
      <c r="AI987" s="730">
        <v>0.90170000000001105</v>
      </c>
      <c r="AJ987" s="731">
        <v>63.96</v>
      </c>
    </row>
    <row r="988" spans="35:36" ht="15" x14ac:dyDescent="0.2">
      <c r="AI988" s="730">
        <v>0.90160000000001095</v>
      </c>
      <c r="AJ988" s="731">
        <v>64</v>
      </c>
    </row>
    <row r="989" spans="35:36" ht="15" x14ac:dyDescent="0.2">
      <c r="AI989" s="730">
        <v>0.90150000000001096</v>
      </c>
      <c r="AJ989" s="731">
        <v>64.05</v>
      </c>
    </row>
    <row r="990" spans="35:36" ht="15" x14ac:dyDescent="0.2">
      <c r="AI990" s="730">
        <v>0.90140000000001097</v>
      </c>
      <c r="AJ990" s="731">
        <v>64.09</v>
      </c>
    </row>
    <row r="991" spans="35:36" ht="15" x14ac:dyDescent="0.2">
      <c r="AI991" s="730">
        <v>0.90130000000001098</v>
      </c>
      <c r="AJ991" s="731">
        <v>64.13</v>
      </c>
    </row>
    <row r="992" spans="35:36" ht="15" x14ac:dyDescent="0.2">
      <c r="AI992" s="730">
        <v>0.90120000000001099</v>
      </c>
      <c r="AJ992" s="731">
        <v>64.180000000000007</v>
      </c>
    </row>
    <row r="993" spans="35:36" ht="15" x14ac:dyDescent="0.2">
      <c r="AI993" s="730">
        <v>0.901100000000011</v>
      </c>
      <c r="AJ993" s="731">
        <v>64.22</v>
      </c>
    </row>
    <row r="994" spans="35:36" ht="15" x14ac:dyDescent="0.2">
      <c r="AI994" s="730">
        <v>0.90100000000001101</v>
      </c>
      <c r="AJ994" s="731">
        <v>64.260000000000005</v>
      </c>
    </row>
    <row r="995" spans="35:36" ht="15" x14ac:dyDescent="0.2">
      <c r="AI995" s="730">
        <v>0.90090000000001103</v>
      </c>
      <c r="AJ995" s="731">
        <v>64.3</v>
      </c>
    </row>
    <row r="996" spans="35:36" ht="15" x14ac:dyDescent="0.2">
      <c r="AI996" s="730">
        <v>0.90080000000001104</v>
      </c>
      <c r="AJ996" s="731">
        <v>64.349999999999994</v>
      </c>
    </row>
    <row r="997" spans="35:36" ht="15" x14ac:dyDescent="0.2">
      <c r="AI997" s="730">
        <v>0.90070000000001105</v>
      </c>
      <c r="AJ997" s="731">
        <v>64.39</v>
      </c>
    </row>
    <row r="998" spans="35:36" ht="15" x14ac:dyDescent="0.2">
      <c r="AI998" s="730">
        <v>0.90060000000001095</v>
      </c>
      <c r="AJ998" s="731">
        <v>64.430000000000007</v>
      </c>
    </row>
    <row r="999" spans="35:36" ht="15" x14ac:dyDescent="0.2">
      <c r="AI999" s="730">
        <v>0.90050000000001096</v>
      </c>
      <c r="AJ999" s="731">
        <v>64.47</v>
      </c>
    </row>
    <row r="1000" spans="35:36" ht="15" x14ac:dyDescent="0.2">
      <c r="AI1000" s="730">
        <v>0.90040000000001097</v>
      </c>
      <c r="AJ1000" s="731">
        <v>64.52</v>
      </c>
    </row>
    <row r="1001" spans="35:36" ht="15" x14ac:dyDescent="0.2">
      <c r="AI1001" s="730">
        <v>0.90030000000001098</v>
      </c>
      <c r="AJ1001" s="731">
        <v>64.56</v>
      </c>
    </row>
    <row r="1002" spans="35:36" ht="15" x14ac:dyDescent="0.2">
      <c r="AI1002" s="730">
        <v>0.90020000000001099</v>
      </c>
      <c r="AJ1002" s="731">
        <v>64.599999999999994</v>
      </c>
    </row>
    <row r="1003" spans="35:36" ht="15" x14ac:dyDescent="0.2">
      <c r="AI1003" s="730">
        <v>0.900100000000011</v>
      </c>
      <c r="AJ1003" s="731">
        <v>64.650000000000006</v>
      </c>
    </row>
    <row r="1004" spans="35:36" ht="15" x14ac:dyDescent="0.2">
      <c r="AI1004" s="730">
        <v>0.90000000000001101</v>
      </c>
      <c r="AJ1004" s="731">
        <v>64.69</v>
      </c>
    </row>
    <row r="1005" spans="35:36" ht="15" x14ac:dyDescent="0.2">
      <c r="AI1005" s="730">
        <v>0.89990000000001102</v>
      </c>
      <c r="AJ1005" s="731">
        <v>64.73</v>
      </c>
    </row>
    <row r="1006" spans="35:36" ht="15" x14ac:dyDescent="0.2">
      <c r="AI1006" s="730">
        <v>0.89980000000001104</v>
      </c>
      <c r="AJ1006" s="731">
        <v>64.77</v>
      </c>
    </row>
    <row r="1007" spans="35:36" ht="15" x14ac:dyDescent="0.2">
      <c r="AI1007" s="730">
        <v>0.89970000000001105</v>
      </c>
      <c r="AJ1007" s="731">
        <v>64.819999999999993</v>
      </c>
    </row>
    <row r="1008" spans="35:36" ht="15" x14ac:dyDescent="0.2">
      <c r="AI1008" s="730">
        <v>0.89960000000001195</v>
      </c>
      <c r="AJ1008" s="731">
        <v>64.86</v>
      </c>
    </row>
    <row r="1009" spans="35:36" ht="15" x14ac:dyDescent="0.2">
      <c r="AI1009" s="730">
        <v>0.89950000000001196</v>
      </c>
      <c r="AJ1009" s="731">
        <v>64.900000000000006</v>
      </c>
    </row>
    <row r="1010" spans="35:36" ht="15" x14ac:dyDescent="0.2">
      <c r="AI1010" s="730">
        <v>0.89940000000001197</v>
      </c>
      <c r="AJ1010" s="731">
        <v>64.94</v>
      </c>
    </row>
    <row r="1011" spans="35:36" ht="15" x14ac:dyDescent="0.2">
      <c r="AI1011" s="730">
        <v>0.89930000000001198</v>
      </c>
      <c r="AJ1011" s="731">
        <v>64.989999999999995</v>
      </c>
    </row>
    <row r="1012" spans="35:36" ht="15" x14ac:dyDescent="0.2">
      <c r="AI1012" s="730">
        <v>0.89920000000001199</v>
      </c>
      <c r="AJ1012" s="731">
        <v>65.03</v>
      </c>
    </row>
    <row r="1013" spans="35:36" ht="15" x14ac:dyDescent="0.2">
      <c r="AI1013" s="730">
        <v>0.899100000000012</v>
      </c>
      <c r="AJ1013" s="731">
        <v>65.069999999999993</v>
      </c>
    </row>
    <row r="1014" spans="35:36" ht="15" x14ac:dyDescent="0.2">
      <c r="AI1014" s="730">
        <v>0.89900000000001201</v>
      </c>
      <c r="AJ1014" s="731">
        <v>65.11</v>
      </c>
    </row>
    <row r="1015" spans="35:36" ht="15" x14ac:dyDescent="0.2">
      <c r="AI1015" s="730">
        <v>0.89890000000001202</v>
      </c>
      <c r="AJ1015" s="731">
        <v>65.16</v>
      </c>
    </row>
    <row r="1016" spans="35:36" ht="15" x14ac:dyDescent="0.2">
      <c r="AI1016" s="730">
        <v>0.89880000000001203</v>
      </c>
      <c r="AJ1016" s="731">
        <v>65.2</v>
      </c>
    </row>
    <row r="1017" spans="35:36" ht="15" x14ac:dyDescent="0.2">
      <c r="AI1017" s="730">
        <v>0.89870000000001204</v>
      </c>
      <c r="AJ1017" s="731">
        <v>65.239999999999995</v>
      </c>
    </row>
    <row r="1018" spans="35:36" ht="15" x14ac:dyDescent="0.2">
      <c r="AI1018" s="730">
        <v>0.89860000000001194</v>
      </c>
      <c r="AJ1018" s="731">
        <v>65.28</v>
      </c>
    </row>
    <row r="1019" spans="35:36" ht="15" x14ac:dyDescent="0.2">
      <c r="AI1019" s="730">
        <v>0.89850000000001196</v>
      </c>
      <c r="AJ1019" s="731">
        <v>65.319999999999993</v>
      </c>
    </row>
    <row r="1020" spans="35:36" ht="15" x14ac:dyDescent="0.2">
      <c r="AI1020" s="730">
        <v>0.89840000000001197</v>
      </c>
      <c r="AJ1020" s="731">
        <v>65.37</v>
      </c>
    </row>
    <row r="1021" spans="35:36" ht="15" x14ac:dyDescent="0.2">
      <c r="AI1021" s="730">
        <v>0.89830000000001198</v>
      </c>
      <c r="AJ1021" s="731">
        <v>65.41</v>
      </c>
    </row>
    <row r="1022" spans="35:36" ht="15" x14ac:dyDescent="0.2">
      <c r="AI1022" s="730">
        <v>0.89820000000001199</v>
      </c>
      <c r="AJ1022" s="731">
        <v>65.45</v>
      </c>
    </row>
    <row r="1023" spans="35:36" ht="15" x14ac:dyDescent="0.2">
      <c r="AI1023" s="730">
        <v>0.898100000000012</v>
      </c>
      <c r="AJ1023" s="731">
        <v>65.489999999999995</v>
      </c>
    </row>
    <row r="1024" spans="35:36" ht="15" x14ac:dyDescent="0.2">
      <c r="AI1024" s="730">
        <v>0.89800000000001201</v>
      </c>
      <c r="AJ1024" s="731">
        <v>65.540000000000006</v>
      </c>
    </row>
    <row r="1025" spans="35:36" ht="15" x14ac:dyDescent="0.2">
      <c r="AI1025" s="730">
        <v>0.89790000000001202</v>
      </c>
      <c r="AJ1025" s="731">
        <v>65.58</v>
      </c>
    </row>
    <row r="1026" spans="35:36" ht="15" x14ac:dyDescent="0.2">
      <c r="AI1026" s="730">
        <v>0.89780000000001203</v>
      </c>
      <c r="AJ1026" s="731">
        <v>65.62</v>
      </c>
    </row>
    <row r="1027" spans="35:36" ht="15" x14ac:dyDescent="0.2">
      <c r="AI1027" s="730">
        <v>0.89770000000001204</v>
      </c>
      <c r="AJ1027" s="731">
        <v>65.66</v>
      </c>
    </row>
    <row r="1028" spans="35:36" ht="15" x14ac:dyDescent="0.2">
      <c r="AI1028" s="730">
        <v>0.89760000000001205</v>
      </c>
      <c r="AJ1028" s="731">
        <v>65.7</v>
      </c>
    </row>
    <row r="1029" spans="35:36" ht="15" x14ac:dyDescent="0.2">
      <c r="AI1029" s="730">
        <v>0.89750000000001195</v>
      </c>
      <c r="AJ1029" s="731">
        <v>65.75</v>
      </c>
    </row>
    <row r="1030" spans="35:36" ht="15" x14ac:dyDescent="0.2">
      <c r="AI1030" s="730">
        <v>0.89740000000001197</v>
      </c>
      <c r="AJ1030" s="731">
        <v>65.790000000000006</v>
      </c>
    </row>
    <row r="1031" spans="35:36" ht="15" x14ac:dyDescent="0.2">
      <c r="AI1031" s="730">
        <v>0.89730000000001198</v>
      </c>
      <c r="AJ1031" s="731">
        <v>65.83</v>
      </c>
    </row>
    <row r="1032" spans="35:36" ht="15" x14ac:dyDescent="0.2">
      <c r="AI1032" s="730">
        <v>0.89720000000001199</v>
      </c>
      <c r="AJ1032" s="731">
        <v>65.87</v>
      </c>
    </row>
    <row r="1033" spans="35:36" ht="15" x14ac:dyDescent="0.2">
      <c r="AI1033" s="730">
        <v>0.897100000000012</v>
      </c>
      <c r="AJ1033" s="731">
        <v>65.91</v>
      </c>
    </row>
    <row r="1034" spans="35:36" ht="15" x14ac:dyDescent="0.2">
      <c r="AI1034" s="730">
        <v>0.89700000000001201</v>
      </c>
      <c r="AJ1034" s="731">
        <v>65.959999999999994</v>
      </c>
    </row>
    <row r="1035" spans="35:36" ht="15" x14ac:dyDescent="0.2">
      <c r="AI1035" s="730">
        <v>0.89690000000001202</v>
      </c>
      <c r="AJ1035" s="731">
        <v>66</v>
      </c>
    </row>
    <row r="1036" spans="35:36" ht="15" x14ac:dyDescent="0.2">
      <c r="AI1036" s="730">
        <v>0.89680000000001203</v>
      </c>
      <c r="AJ1036" s="731">
        <v>66.040000000000006</v>
      </c>
    </row>
    <row r="1037" spans="35:36" ht="15" x14ac:dyDescent="0.2">
      <c r="AI1037" s="730">
        <v>0.89670000000001204</v>
      </c>
      <c r="AJ1037" s="731">
        <v>66.08</v>
      </c>
    </row>
    <row r="1038" spans="35:36" ht="15" x14ac:dyDescent="0.2">
      <c r="AI1038" s="730">
        <v>0.89660000000001205</v>
      </c>
      <c r="AJ1038" s="731">
        <v>66.12</v>
      </c>
    </row>
    <row r="1039" spans="35:36" ht="15" x14ac:dyDescent="0.2">
      <c r="AI1039" s="730">
        <v>0.89650000000001195</v>
      </c>
      <c r="AJ1039" s="731">
        <v>66.17</v>
      </c>
    </row>
    <row r="1040" spans="35:36" ht="15" x14ac:dyDescent="0.2">
      <c r="AI1040" s="730">
        <v>0.89640000000001197</v>
      </c>
      <c r="AJ1040" s="731">
        <v>66.209999999999994</v>
      </c>
    </row>
    <row r="1041" spans="35:36" ht="15" x14ac:dyDescent="0.2">
      <c r="AI1041" s="730">
        <v>0.89630000000001198</v>
      </c>
      <c r="AJ1041" s="731">
        <v>66.25</v>
      </c>
    </row>
    <row r="1042" spans="35:36" ht="15" x14ac:dyDescent="0.2">
      <c r="AI1042" s="730">
        <v>0.89620000000001199</v>
      </c>
      <c r="AJ1042" s="731">
        <v>66.290000000000006</v>
      </c>
    </row>
    <row r="1043" spans="35:36" ht="15" x14ac:dyDescent="0.2">
      <c r="AI1043" s="730">
        <v>0.896100000000012</v>
      </c>
      <c r="AJ1043" s="731">
        <v>66.33</v>
      </c>
    </row>
    <row r="1044" spans="35:36" ht="15" x14ac:dyDescent="0.2">
      <c r="AI1044" s="730">
        <v>0.89600000000001201</v>
      </c>
      <c r="AJ1044" s="731">
        <v>66.37</v>
      </c>
    </row>
    <row r="1045" spans="35:36" ht="15" x14ac:dyDescent="0.2">
      <c r="AI1045" s="730">
        <v>0.89590000000001202</v>
      </c>
      <c r="AJ1045" s="731">
        <v>66.42</v>
      </c>
    </row>
    <row r="1046" spans="35:36" ht="15" x14ac:dyDescent="0.2">
      <c r="AI1046" s="730">
        <v>0.89580000000001203</v>
      </c>
      <c r="AJ1046" s="731">
        <v>66.459999999999994</v>
      </c>
    </row>
    <row r="1047" spans="35:36" ht="15" x14ac:dyDescent="0.2">
      <c r="AI1047" s="730">
        <v>0.89570000000001204</v>
      </c>
      <c r="AJ1047" s="731">
        <v>66.5</v>
      </c>
    </row>
    <row r="1048" spans="35:36" ht="15" x14ac:dyDescent="0.2">
      <c r="AI1048" s="730">
        <v>0.89560000000001205</v>
      </c>
      <c r="AJ1048" s="731">
        <v>66.540000000000006</v>
      </c>
    </row>
    <row r="1049" spans="35:36" ht="15" x14ac:dyDescent="0.2">
      <c r="AI1049" s="730">
        <v>0.89550000000001195</v>
      </c>
      <c r="AJ1049" s="731">
        <v>66.58</v>
      </c>
    </row>
    <row r="1050" spans="35:36" ht="15" x14ac:dyDescent="0.2">
      <c r="AI1050" s="730">
        <v>0.89540000000001196</v>
      </c>
      <c r="AJ1050" s="731">
        <v>66.62</v>
      </c>
    </row>
    <row r="1051" spans="35:36" ht="15" x14ac:dyDescent="0.2">
      <c r="AI1051" s="730">
        <v>0.89530000000001198</v>
      </c>
      <c r="AJ1051" s="731">
        <v>66.67</v>
      </c>
    </row>
    <row r="1052" spans="35:36" ht="15" x14ac:dyDescent="0.2">
      <c r="AI1052" s="730">
        <v>0.89520000000001199</v>
      </c>
      <c r="AJ1052" s="731">
        <v>66.709999999999994</v>
      </c>
    </row>
    <row r="1053" spans="35:36" ht="15" x14ac:dyDescent="0.2">
      <c r="AI1053" s="730">
        <v>0.895100000000012</v>
      </c>
      <c r="AJ1053" s="731">
        <v>66.75</v>
      </c>
    </row>
    <row r="1054" spans="35:36" ht="15" x14ac:dyDescent="0.2">
      <c r="AI1054" s="730">
        <v>0.89500000000001201</v>
      </c>
      <c r="AJ1054" s="731">
        <v>66.790000000000006</v>
      </c>
    </row>
    <row r="1055" spans="35:36" ht="15" x14ac:dyDescent="0.2">
      <c r="AI1055" s="730">
        <v>0.89490000000001202</v>
      </c>
      <c r="AJ1055" s="731">
        <v>66.83</v>
      </c>
    </row>
    <row r="1056" spans="35:36" ht="15" x14ac:dyDescent="0.2">
      <c r="AI1056" s="730">
        <v>0.89480000000001203</v>
      </c>
      <c r="AJ1056" s="731">
        <v>66.87</v>
      </c>
    </row>
    <row r="1057" spans="35:36" ht="15" x14ac:dyDescent="0.2">
      <c r="AI1057" s="730">
        <v>0.89470000000001204</v>
      </c>
      <c r="AJ1057" s="731">
        <v>66.92</v>
      </c>
    </row>
    <row r="1058" spans="35:36" ht="15" x14ac:dyDescent="0.2">
      <c r="AI1058" s="730">
        <v>0.89460000000001205</v>
      </c>
      <c r="AJ1058" s="731">
        <v>66.959999999999994</v>
      </c>
    </row>
    <row r="1059" spans="35:36" ht="15" x14ac:dyDescent="0.2">
      <c r="AI1059" s="730">
        <v>0.89450000000001195</v>
      </c>
      <c r="AJ1059" s="731">
        <v>67</v>
      </c>
    </row>
    <row r="1060" spans="35:36" ht="15" x14ac:dyDescent="0.2">
      <c r="AI1060" s="730">
        <v>0.89440000000001196</v>
      </c>
      <c r="AJ1060" s="731">
        <v>67.040000000000006</v>
      </c>
    </row>
    <row r="1061" spans="35:36" ht="15" x14ac:dyDescent="0.2">
      <c r="AI1061" s="730">
        <v>0.89430000000001197</v>
      </c>
      <c r="AJ1061" s="731">
        <v>67.08</v>
      </c>
    </row>
    <row r="1062" spans="35:36" ht="15" x14ac:dyDescent="0.2">
      <c r="AI1062" s="730">
        <v>0.89420000000001199</v>
      </c>
      <c r="AJ1062" s="731">
        <v>67.12</v>
      </c>
    </row>
    <row r="1063" spans="35:36" ht="15" x14ac:dyDescent="0.2">
      <c r="AI1063" s="730">
        <v>0.894100000000012</v>
      </c>
      <c r="AJ1063" s="731">
        <v>67.16</v>
      </c>
    </row>
    <row r="1064" spans="35:36" ht="15" x14ac:dyDescent="0.2">
      <c r="AI1064" s="730">
        <v>0.89400000000001201</v>
      </c>
      <c r="AJ1064" s="731">
        <v>67.209999999999994</v>
      </c>
    </row>
    <row r="1065" spans="35:36" ht="15" x14ac:dyDescent="0.2">
      <c r="AI1065" s="730">
        <v>0.89390000000001202</v>
      </c>
      <c r="AJ1065" s="731">
        <v>67.25</v>
      </c>
    </row>
    <row r="1066" spans="35:36" ht="15" x14ac:dyDescent="0.2">
      <c r="AI1066" s="730">
        <v>0.89380000000001203</v>
      </c>
      <c r="AJ1066" s="731">
        <v>67.290000000000006</v>
      </c>
    </row>
    <row r="1067" spans="35:36" ht="15" x14ac:dyDescent="0.2">
      <c r="AI1067" s="730">
        <v>0.89370000000001204</v>
      </c>
      <c r="AJ1067" s="731">
        <v>67.33</v>
      </c>
    </row>
    <row r="1068" spans="35:36" ht="15" x14ac:dyDescent="0.2">
      <c r="AI1068" s="730">
        <v>0.89360000000001205</v>
      </c>
      <c r="AJ1068" s="731">
        <v>67.37</v>
      </c>
    </row>
    <row r="1069" spans="35:36" ht="15" x14ac:dyDescent="0.2">
      <c r="AI1069" s="730">
        <v>0.89350000000001195</v>
      </c>
      <c r="AJ1069" s="731">
        <v>67.41</v>
      </c>
    </row>
    <row r="1070" spans="35:36" ht="15" x14ac:dyDescent="0.2">
      <c r="AI1070" s="730">
        <v>0.89340000000001196</v>
      </c>
      <c r="AJ1070" s="731">
        <v>67.45</v>
      </c>
    </row>
    <row r="1071" spans="35:36" ht="15" x14ac:dyDescent="0.2">
      <c r="AI1071" s="730">
        <v>0.89330000000001197</v>
      </c>
      <c r="AJ1071" s="731">
        <v>67.489999999999995</v>
      </c>
    </row>
    <row r="1072" spans="35:36" ht="15" x14ac:dyDescent="0.2">
      <c r="AI1072" s="730">
        <v>0.89320000000001198</v>
      </c>
      <c r="AJ1072" s="731">
        <v>67.540000000000006</v>
      </c>
    </row>
    <row r="1073" spans="35:36" ht="15" x14ac:dyDescent="0.2">
      <c r="AI1073" s="730">
        <v>0.893100000000012</v>
      </c>
      <c r="AJ1073" s="731">
        <v>67.58</v>
      </c>
    </row>
    <row r="1074" spans="35:36" ht="15" x14ac:dyDescent="0.2">
      <c r="AI1074" s="730">
        <v>0.89300000000001201</v>
      </c>
      <c r="AJ1074" s="731">
        <v>67.62</v>
      </c>
    </row>
    <row r="1075" spans="35:36" ht="15" x14ac:dyDescent="0.2">
      <c r="AI1075" s="730">
        <v>0.89290000000001202</v>
      </c>
      <c r="AJ1075" s="731">
        <v>67.66</v>
      </c>
    </row>
    <row r="1076" spans="35:36" ht="15" x14ac:dyDescent="0.2">
      <c r="AI1076" s="730">
        <v>0.89280000000001203</v>
      </c>
      <c r="AJ1076" s="731">
        <v>67.7</v>
      </c>
    </row>
    <row r="1077" spans="35:36" ht="15" x14ac:dyDescent="0.2">
      <c r="AI1077" s="730">
        <v>0.89270000000001204</v>
      </c>
      <c r="AJ1077" s="731">
        <v>67.739999999999995</v>
      </c>
    </row>
    <row r="1078" spans="35:36" ht="15" x14ac:dyDescent="0.2">
      <c r="AI1078" s="730">
        <v>0.89260000000001205</v>
      </c>
      <c r="AJ1078" s="731">
        <v>67.78</v>
      </c>
    </row>
    <row r="1079" spans="35:36" ht="15" x14ac:dyDescent="0.2">
      <c r="AI1079" s="730">
        <v>0.89250000000001195</v>
      </c>
      <c r="AJ1079" s="731">
        <v>67.819999999999993</v>
      </c>
    </row>
    <row r="1080" spans="35:36" ht="15" x14ac:dyDescent="0.2">
      <c r="AI1080" s="730">
        <v>0.89240000000001196</v>
      </c>
      <c r="AJ1080" s="731">
        <v>67.87</v>
      </c>
    </row>
    <row r="1081" spans="35:36" ht="15" x14ac:dyDescent="0.2">
      <c r="AI1081" s="730">
        <v>0.89230000000001197</v>
      </c>
      <c r="AJ1081" s="731">
        <v>67.91</v>
      </c>
    </row>
    <row r="1082" spans="35:36" ht="15" x14ac:dyDescent="0.2">
      <c r="AI1082" s="730">
        <v>0.89220000000001198</v>
      </c>
      <c r="AJ1082" s="731">
        <v>67.95</v>
      </c>
    </row>
    <row r="1083" spans="35:36" ht="15" x14ac:dyDescent="0.2">
      <c r="AI1083" s="730">
        <v>0.89210000000001199</v>
      </c>
      <c r="AJ1083" s="731">
        <v>67.989999999999995</v>
      </c>
    </row>
    <row r="1084" spans="35:36" ht="15" x14ac:dyDescent="0.2">
      <c r="AI1084" s="730">
        <v>0.89200000000001201</v>
      </c>
      <c r="AJ1084" s="731">
        <v>68.03</v>
      </c>
    </row>
    <row r="1085" spans="35:36" ht="15" x14ac:dyDescent="0.2">
      <c r="AI1085" s="730">
        <v>0.89190000000001202</v>
      </c>
      <c r="AJ1085" s="731">
        <v>68.069999999999993</v>
      </c>
    </row>
    <row r="1086" spans="35:36" ht="15" x14ac:dyDescent="0.2">
      <c r="AI1086" s="730">
        <v>0.89180000000001203</v>
      </c>
      <c r="AJ1086" s="731">
        <v>68.11</v>
      </c>
    </row>
    <row r="1087" spans="35:36" ht="15" x14ac:dyDescent="0.2">
      <c r="AI1087" s="730">
        <v>0.89170000000001204</v>
      </c>
      <c r="AJ1087" s="731">
        <v>68.150000000000006</v>
      </c>
    </row>
    <row r="1088" spans="35:36" ht="15" x14ac:dyDescent="0.2">
      <c r="AI1088" s="730">
        <v>0.89160000000001205</v>
      </c>
      <c r="AJ1088" s="731">
        <v>68.19</v>
      </c>
    </row>
    <row r="1089" spans="35:36" ht="15" x14ac:dyDescent="0.2">
      <c r="AI1089" s="730">
        <v>0.89150000000001195</v>
      </c>
      <c r="AJ1089" s="731">
        <v>68.239999999999995</v>
      </c>
    </row>
    <row r="1090" spans="35:36" ht="15" x14ac:dyDescent="0.2">
      <c r="AI1090" s="730">
        <v>0.89140000000001196</v>
      </c>
      <c r="AJ1090" s="731">
        <v>68.28</v>
      </c>
    </row>
    <row r="1091" spans="35:36" ht="15" x14ac:dyDescent="0.2">
      <c r="AI1091" s="730">
        <v>0.89130000000001197</v>
      </c>
      <c r="AJ1091" s="731">
        <v>68.319999999999993</v>
      </c>
    </row>
    <row r="1092" spans="35:36" ht="15" x14ac:dyDescent="0.2">
      <c r="AI1092" s="730">
        <v>0.89120000000001198</v>
      </c>
      <c r="AJ1092" s="731">
        <v>68.36</v>
      </c>
    </row>
    <row r="1093" spans="35:36" ht="15" x14ac:dyDescent="0.2">
      <c r="AI1093" s="730">
        <v>0.89110000000001199</v>
      </c>
      <c r="AJ1093" s="731">
        <v>68.400000000000006</v>
      </c>
    </row>
    <row r="1094" spans="35:36" ht="15" x14ac:dyDescent="0.2">
      <c r="AI1094" s="730">
        <v>0.891000000000012</v>
      </c>
      <c r="AJ1094" s="731">
        <v>68.44</v>
      </c>
    </row>
    <row r="1095" spans="35:36" ht="15" x14ac:dyDescent="0.2">
      <c r="AI1095" s="730">
        <v>0.89090000000001202</v>
      </c>
      <c r="AJ1095" s="731">
        <v>68.48</v>
      </c>
    </row>
    <row r="1096" spans="35:36" ht="15" x14ac:dyDescent="0.2">
      <c r="AI1096" s="730">
        <v>0.89080000000001203</v>
      </c>
      <c r="AJ1096" s="731">
        <v>68.52</v>
      </c>
    </row>
    <row r="1097" spans="35:36" ht="15" x14ac:dyDescent="0.2">
      <c r="AI1097" s="730">
        <v>0.89070000000001204</v>
      </c>
      <c r="AJ1097" s="731">
        <v>68.56</v>
      </c>
    </row>
    <row r="1098" spans="35:36" ht="15" x14ac:dyDescent="0.2">
      <c r="AI1098" s="730">
        <v>0.89060000000001205</v>
      </c>
      <c r="AJ1098" s="731">
        <v>68.599999999999994</v>
      </c>
    </row>
    <row r="1099" spans="35:36" ht="15" x14ac:dyDescent="0.2">
      <c r="AI1099" s="730">
        <v>0.89050000000001295</v>
      </c>
      <c r="AJ1099" s="731">
        <v>68.650000000000006</v>
      </c>
    </row>
    <row r="1100" spans="35:36" ht="15" x14ac:dyDescent="0.2">
      <c r="AI1100" s="730">
        <v>0.89040000000001296</v>
      </c>
      <c r="AJ1100" s="731">
        <v>68.69</v>
      </c>
    </row>
    <row r="1101" spans="35:36" ht="15" x14ac:dyDescent="0.2">
      <c r="AI1101" s="730">
        <v>0.89030000000001297</v>
      </c>
      <c r="AJ1101" s="731">
        <v>68.73</v>
      </c>
    </row>
    <row r="1102" spans="35:36" ht="15" x14ac:dyDescent="0.2">
      <c r="AI1102" s="730">
        <v>0.89020000000001298</v>
      </c>
      <c r="AJ1102" s="731">
        <v>68.77</v>
      </c>
    </row>
    <row r="1103" spans="35:36" ht="15" x14ac:dyDescent="0.2">
      <c r="AI1103" s="730">
        <v>0.89010000000001299</v>
      </c>
      <c r="AJ1103" s="731">
        <v>68.81</v>
      </c>
    </row>
    <row r="1104" spans="35:36" ht="15" x14ac:dyDescent="0.2">
      <c r="AI1104" s="730">
        <v>0.890000000000013</v>
      </c>
      <c r="AJ1104" s="731">
        <v>68.849999999999994</v>
      </c>
    </row>
    <row r="1105" spans="35:36" ht="15" x14ac:dyDescent="0.2">
      <c r="AI1105" s="730">
        <v>0.88990000000001301</v>
      </c>
      <c r="AJ1105" s="731">
        <v>68.89</v>
      </c>
    </row>
    <row r="1106" spans="35:36" ht="15" x14ac:dyDescent="0.2">
      <c r="AI1106" s="730">
        <v>0.88980000000001302</v>
      </c>
      <c r="AJ1106" s="731">
        <v>68.930000000000007</v>
      </c>
    </row>
    <row r="1107" spans="35:36" ht="15" x14ac:dyDescent="0.2">
      <c r="AI1107" s="730">
        <v>0.88970000000001304</v>
      </c>
      <c r="AJ1107" s="731">
        <v>68.97</v>
      </c>
    </row>
    <row r="1108" spans="35:36" ht="15" x14ac:dyDescent="0.2">
      <c r="AI1108" s="730">
        <v>0.88960000000001305</v>
      </c>
      <c r="AJ1108" s="731">
        <v>69.010000000000005</v>
      </c>
    </row>
    <row r="1109" spans="35:36" ht="15" x14ac:dyDescent="0.2">
      <c r="AI1109" s="730">
        <v>0.88950000000001295</v>
      </c>
      <c r="AJ1109" s="731">
        <v>69.05</v>
      </c>
    </row>
    <row r="1110" spans="35:36" ht="15" x14ac:dyDescent="0.2">
      <c r="AI1110" s="730">
        <v>0.88940000000001296</v>
      </c>
      <c r="AJ1110" s="731">
        <v>69.09</v>
      </c>
    </row>
    <row r="1111" spans="35:36" ht="15" x14ac:dyDescent="0.2">
      <c r="AI1111" s="730">
        <v>0.88930000000001297</v>
      </c>
      <c r="AJ1111" s="731">
        <v>69.13</v>
      </c>
    </row>
    <row r="1112" spans="35:36" ht="15" x14ac:dyDescent="0.2">
      <c r="AI1112" s="730">
        <v>0.88920000000001298</v>
      </c>
      <c r="AJ1112" s="731">
        <v>69.17</v>
      </c>
    </row>
    <row r="1113" spans="35:36" ht="15" x14ac:dyDescent="0.2">
      <c r="AI1113" s="730">
        <v>0.88910000000001299</v>
      </c>
      <c r="AJ1113" s="731">
        <v>69.22</v>
      </c>
    </row>
    <row r="1114" spans="35:36" ht="15" x14ac:dyDescent="0.2">
      <c r="AI1114" s="730">
        <v>0.889000000000013</v>
      </c>
      <c r="AJ1114" s="731">
        <v>69.260000000000005</v>
      </c>
    </row>
    <row r="1115" spans="35:36" ht="15" x14ac:dyDescent="0.2">
      <c r="AI1115" s="730">
        <v>0.88890000000001301</v>
      </c>
      <c r="AJ1115" s="731">
        <v>69.3</v>
      </c>
    </row>
    <row r="1116" spans="35:36" ht="15" x14ac:dyDescent="0.2">
      <c r="AI1116" s="730">
        <v>0.88880000000001302</v>
      </c>
      <c r="AJ1116" s="731">
        <v>69.34</v>
      </c>
    </row>
    <row r="1117" spans="35:36" ht="15" x14ac:dyDescent="0.2">
      <c r="AI1117" s="730">
        <v>0.88870000000001304</v>
      </c>
      <c r="AJ1117" s="731">
        <v>69.38</v>
      </c>
    </row>
    <row r="1118" spans="35:36" ht="15" x14ac:dyDescent="0.2">
      <c r="AI1118" s="730">
        <v>0.88860000000001305</v>
      </c>
      <c r="AJ1118" s="731">
        <v>69.42</v>
      </c>
    </row>
    <row r="1119" spans="35:36" ht="15" x14ac:dyDescent="0.2">
      <c r="AI1119" s="730">
        <v>0.88850000000001295</v>
      </c>
      <c r="AJ1119" s="731">
        <v>69.459999999999994</v>
      </c>
    </row>
    <row r="1120" spans="35:36" ht="15" x14ac:dyDescent="0.2">
      <c r="AI1120" s="730">
        <v>0.88840000000001296</v>
      </c>
      <c r="AJ1120" s="731">
        <v>69.5</v>
      </c>
    </row>
    <row r="1121" spans="35:36" ht="15" x14ac:dyDescent="0.2">
      <c r="AI1121" s="730">
        <v>0.88830000000001297</v>
      </c>
      <c r="AJ1121" s="731">
        <v>69.540000000000006</v>
      </c>
    </row>
    <row r="1122" spans="35:36" ht="15" x14ac:dyDescent="0.2">
      <c r="AI1122" s="730">
        <v>0.88820000000001298</v>
      </c>
      <c r="AJ1122" s="731">
        <v>69.58</v>
      </c>
    </row>
    <row r="1123" spans="35:36" ht="15" x14ac:dyDescent="0.2">
      <c r="AI1123" s="730">
        <v>0.88810000000001299</v>
      </c>
      <c r="AJ1123" s="731">
        <v>69.62</v>
      </c>
    </row>
    <row r="1124" spans="35:36" ht="15" x14ac:dyDescent="0.2">
      <c r="AI1124" s="730">
        <v>0.888000000000013</v>
      </c>
      <c r="AJ1124" s="731">
        <v>69.66</v>
      </c>
    </row>
    <row r="1125" spans="35:36" ht="15" x14ac:dyDescent="0.2">
      <c r="AI1125" s="730">
        <v>0.88790000000001301</v>
      </c>
      <c r="AJ1125" s="731">
        <v>69.7</v>
      </c>
    </row>
    <row r="1126" spans="35:36" ht="15" x14ac:dyDescent="0.2">
      <c r="AI1126" s="730">
        <v>0.88780000000001302</v>
      </c>
      <c r="AJ1126" s="731">
        <v>69.739999999999995</v>
      </c>
    </row>
    <row r="1127" spans="35:36" ht="15" x14ac:dyDescent="0.2">
      <c r="AI1127" s="730">
        <v>0.88770000000001303</v>
      </c>
      <c r="AJ1127" s="731">
        <v>69.78</v>
      </c>
    </row>
    <row r="1128" spans="35:36" ht="15" x14ac:dyDescent="0.2">
      <c r="AI1128" s="730">
        <v>0.88760000000001305</v>
      </c>
      <c r="AJ1128" s="731">
        <v>69.819999999999993</v>
      </c>
    </row>
    <row r="1129" spans="35:36" ht="15" x14ac:dyDescent="0.2">
      <c r="AI1129" s="730">
        <v>0.88750000000001295</v>
      </c>
      <c r="AJ1129" s="731">
        <v>69.86</v>
      </c>
    </row>
    <row r="1130" spans="35:36" ht="15" x14ac:dyDescent="0.2">
      <c r="AI1130" s="730">
        <v>0.88740000000001296</v>
      </c>
      <c r="AJ1130" s="731">
        <v>69.900000000000006</v>
      </c>
    </row>
    <row r="1131" spans="35:36" ht="15" x14ac:dyDescent="0.2">
      <c r="AI1131" s="730">
        <v>0.88730000000001297</v>
      </c>
      <c r="AJ1131" s="731">
        <v>69.94</v>
      </c>
    </row>
    <row r="1132" spans="35:36" ht="15" x14ac:dyDescent="0.2">
      <c r="AI1132" s="730">
        <v>0.88720000000001298</v>
      </c>
      <c r="AJ1132" s="731">
        <v>69.98</v>
      </c>
    </row>
    <row r="1133" spans="35:36" ht="15" x14ac:dyDescent="0.2">
      <c r="AI1133" s="730">
        <v>0.88710000000001299</v>
      </c>
      <c r="AJ1133" s="731">
        <v>70.02</v>
      </c>
    </row>
    <row r="1134" spans="35:36" ht="15" x14ac:dyDescent="0.2">
      <c r="AI1134" s="730">
        <v>0.887000000000013</v>
      </c>
      <c r="AJ1134" s="731">
        <v>70.06</v>
      </c>
    </row>
    <row r="1135" spans="35:36" ht="15" x14ac:dyDescent="0.2">
      <c r="AI1135" s="730">
        <v>0.88690000000001301</v>
      </c>
      <c r="AJ1135" s="731">
        <v>70.099999999999994</v>
      </c>
    </row>
    <row r="1136" spans="35:36" ht="15" x14ac:dyDescent="0.2">
      <c r="AI1136" s="730">
        <v>0.88680000000001302</v>
      </c>
      <c r="AJ1136" s="731">
        <v>70.14</v>
      </c>
    </row>
    <row r="1137" spans="35:36" ht="15" x14ac:dyDescent="0.2">
      <c r="AI1137" s="730">
        <v>0.88670000000001303</v>
      </c>
      <c r="AJ1137" s="731">
        <v>70.180000000000007</v>
      </c>
    </row>
    <row r="1138" spans="35:36" ht="15" x14ac:dyDescent="0.2">
      <c r="AI1138" s="730">
        <v>0.88660000000001304</v>
      </c>
      <c r="AJ1138" s="731">
        <v>70.22</v>
      </c>
    </row>
    <row r="1139" spans="35:36" ht="15" x14ac:dyDescent="0.2">
      <c r="AI1139" s="730">
        <v>0.88650000000001306</v>
      </c>
      <c r="AJ1139" s="731">
        <v>70.260000000000005</v>
      </c>
    </row>
    <row r="1140" spans="35:36" ht="15" x14ac:dyDescent="0.2">
      <c r="AI1140" s="730">
        <v>0.88640000000001296</v>
      </c>
      <c r="AJ1140" s="731">
        <v>70.3</v>
      </c>
    </row>
    <row r="1141" spans="35:36" ht="15" x14ac:dyDescent="0.2">
      <c r="AI1141" s="730">
        <v>0.88630000000001297</v>
      </c>
      <c r="AJ1141" s="731">
        <v>70.34</v>
      </c>
    </row>
    <row r="1142" spans="35:36" ht="15" x14ac:dyDescent="0.2">
      <c r="AI1142" s="730">
        <v>0.88620000000001298</v>
      </c>
      <c r="AJ1142" s="731">
        <v>70.38</v>
      </c>
    </row>
    <row r="1143" spans="35:36" ht="15" x14ac:dyDescent="0.2">
      <c r="AI1143" s="730">
        <v>0.88610000000001299</v>
      </c>
      <c r="AJ1143" s="731">
        <v>70.42</v>
      </c>
    </row>
    <row r="1144" spans="35:36" ht="15" x14ac:dyDescent="0.2">
      <c r="AI1144" s="730">
        <v>0.886000000000013</v>
      </c>
      <c r="AJ1144" s="731">
        <v>70.459999999999994</v>
      </c>
    </row>
    <row r="1145" spans="35:36" ht="15" x14ac:dyDescent="0.2">
      <c r="AI1145" s="730">
        <v>0.88590000000001301</v>
      </c>
      <c r="AJ1145" s="731">
        <v>70.5</v>
      </c>
    </row>
    <row r="1146" spans="35:36" ht="15" x14ac:dyDescent="0.2">
      <c r="AI1146" s="730">
        <v>0.88580000000001302</v>
      </c>
      <c r="AJ1146" s="731">
        <v>70.540000000000006</v>
      </c>
    </row>
    <row r="1147" spans="35:36" ht="15" x14ac:dyDescent="0.2">
      <c r="AI1147" s="730">
        <v>0.88570000000001303</v>
      </c>
      <c r="AJ1147" s="731">
        <v>70.58</v>
      </c>
    </row>
    <row r="1148" spans="35:36" ht="15" x14ac:dyDescent="0.2">
      <c r="AI1148" s="730">
        <v>0.88560000000001304</v>
      </c>
      <c r="AJ1148" s="731">
        <v>70.62</v>
      </c>
    </row>
    <row r="1149" spans="35:36" ht="15" x14ac:dyDescent="0.2">
      <c r="AI1149" s="730">
        <v>0.88550000000001305</v>
      </c>
      <c r="AJ1149" s="731">
        <v>70.66</v>
      </c>
    </row>
    <row r="1150" spans="35:36" ht="15" x14ac:dyDescent="0.2">
      <c r="AI1150" s="730">
        <v>0.88540000000001295</v>
      </c>
      <c r="AJ1150" s="731">
        <v>70.7</v>
      </c>
    </row>
    <row r="1151" spans="35:36" ht="15" x14ac:dyDescent="0.2">
      <c r="AI1151" s="730">
        <v>0.88530000000001297</v>
      </c>
      <c r="AJ1151" s="731">
        <v>70.739999999999995</v>
      </c>
    </row>
    <row r="1152" spans="35:36" ht="15" x14ac:dyDescent="0.2">
      <c r="AI1152" s="730">
        <v>0.88520000000001298</v>
      </c>
      <c r="AJ1152" s="731">
        <v>70.78</v>
      </c>
    </row>
    <row r="1153" spans="35:36" ht="15" x14ac:dyDescent="0.2">
      <c r="AI1153" s="730">
        <v>0.88510000000001299</v>
      </c>
      <c r="AJ1153" s="731">
        <v>70.819999999999993</v>
      </c>
    </row>
    <row r="1154" spans="35:36" ht="15" x14ac:dyDescent="0.2">
      <c r="AI1154" s="730">
        <v>0.885000000000013</v>
      </c>
      <c r="AJ1154" s="731">
        <v>70.86</v>
      </c>
    </row>
    <row r="1155" spans="35:36" ht="15" x14ac:dyDescent="0.2">
      <c r="AI1155" s="730">
        <v>0.88490000000001301</v>
      </c>
      <c r="AJ1155" s="731">
        <v>70.900000000000006</v>
      </c>
    </row>
    <row r="1156" spans="35:36" ht="15" x14ac:dyDescent="0.2">
      <c r="AI1156" s="730">
        <v>0.88480000000001302</v>
      </c>
      <c r="AJ1156" s="731">
        <v>70.94</v>
      </c>
    </row>
    <row r="1157" spans="35:36" ht="15" x14ac:dyDescent="0.2">
      <c r="AI1157" s="730">
        <v>0.88470000000001303</v>
      </c>
      <c r="AJ1157" s="731">
        <v>70.98</v>
      </c>
    </row>
    <row r="1158" spans="35:36" ht="15" x14ac:dyDescent="0.2">
      <c r="AI1158" s="730">
        <v>0.88460000000001304</v>
      </c>
      <c r="AJ1158" s="731">
        <v>71.02</v>
      </c>
    </row>
    <row r="1159" spans="35:36" ht="15" x14ac:dyDescent="0.2">
      <c r="AI1159" s="730">
        <v>0.88450000000001305</v>
      </c>
      <c r="AJ1159" s="731">
        <v>71.06</v>
      </c>
    </row>
    <row r="1160" spans="35:36" ht="15" x14ac:dyDescent="0.2">
      <c r="AI1160" s="730">
        <v>0.88440000000001295</v>
      </c>
      <c r="AJ1160" s="731">
        <v>71.099999999999994</v>
      </c>
    </row>
    <row r="1161" spans="35:36" ht="15" x14ac:dyDescent="0.2">
      <c r="AI1161" s="730">
        <v>0.88430000000001296</v>
      </c>
      <c r="AJ1161" s="731">
        <v>71.14</v>
      </c>
    </row>
    <row r="1162" spans="35:36" ht="15" x14ac:dyDescent="0.2">
      <c r="AI1162" s="730">
        <v>0.88420000000001298</v>
      </c>
      <c r="AJ1162" s="731">
        <v>71.180000000000007</v>
      </c>
    </row>
    <row r="1163" spans="35:36" ht="15" x14ac:dyDescent="0.2">
      <c r="AI1163" s="730">
        <v>0.88410000000001299</v>
      </c>
      <c r="AJ1163" s="731">
        <v>71.22</v>
      </c>
    </row>
    <row r="1164" spans="35:36" ht="15" x14ac:dyDescent="0.2">
      <c r="AI1164" s="730">
        <v>0.884000000000013</v>
      </c>
      <c r="AJ1164" s="731">
        <v>71.260000000000005</v>
      </c>
    </row>
    <row r="1165" spans="35:36" ht="15" x14ac:dyDescent="0.2">
      <c r="AI1165" s="730">
        <v>0.88390000000001301</v>
      </c>
      <c r="AJ1165" s="731">
        <v>71.3</v>
      </c>
    </row>
    <row r="1166" spans="35:36" ht="15" x14ac:dyDescent="0.2">
      <c r="AI1166" s="730">
        <v>0.88380000000001302</v>
      </c>
      <c r="AJ1166" s="731">
        <v>71.34</v>
      </c>
    </row>
    <row r="1167" spans="35:36" ht="15" x14ac:dyDescent="0.2">
      <c r="AI1167" s="730">
        <v>0.88370000000001303</v>
      </c>
      <c r="AJ1167" s="731">
        <v>71.38</v>
      </c>
    </row>
    <row r="1168" spans="35:36" ht="15" x14ac:dyDescent="0.2">
      <c r="AI1168" s="730">
        <v>0.88360000000001304</v>
      </c>
      <c r="AJ1168" s="731">
        <v>71.42</v>
      </c>
    </row>
    <row r="1169" spans="35:36" ht="15" x14ac:dyDescent="0.2">
      <c r="AI1169" s="730">
        <v>0.88350000000001305</v>
      </c>
      <c r="AJ1169" s="731">
        <v>71.459999999999994</v>
      </c>
    </row>
    <row r="1170" spans="35:36" ht="15" x14ac:dyDescent="0.2">
      <c r="AI1170" s="730">
        <v>0.88340000000001295</v>
      </c>
      <c r="AJ1170" s="731">
        <v>71.5</v>
      </c>
    </row>
    <row r="1171" spans="35:36" ht="15" x14ac:dyDescent="0.2">
      <c r="AI1171" s="730">
        <v>0.88330000000001296</v>
      </c>
      <c r="AJ1171" s="731">
        <v>71.540000000000006</v>
      </c>
    </row>
    <row r="1172" spans="35:36" ht="15" x14ac:dyDescent="0.2">
      <c r="AI1172" s="730">
        <v>0.88320000000001297</v>
      </c>
      <c r="AJ1172" s="731">
        <v>71.58</v>
      </c>
    </row>
    <row r="1173" spans="35:36" ht="15" x14ac:dyDescent="0.2">
      <c r="AI1173" s="730">
        <v>0.88310000000001299</v>
      </c>
      <c r="AJ1173" s="731">
        <v>71.61</v>
      </c>
    </row>
    <row r="1174" spans="35:36" ht="15" x14ac:dyDescent="0.2">
      <c r="AI1174" s="730">
        <v>0.883000000000013</v>
      </c>
      <c r="AJ1174" s="731">
        <v>71.650000000000006</v>
      </c>
    </row>
    <row r="1175" spans="35:36" ht="15" x14ac:dyDescent="0.2">
      <c r="AI1175" s="730">
        <v>0.88290000000001301</v>
      </c>
      <c r="AJ1175" s="731">
        <v>71.69</v>
      </c>
    </row>
    <row r="1176" spans="35:36" ht="15" x14ac:dyDescent="0.2">
      <c r="AI1176" s="730">
        <v>0.88280000000001302</v>
      </c>
      <c r="AJ1176" s="731">
        <v>71.73</v>
      </c>
    </row>
    <row r="1177" spans="35:36" ht="15" x14ac:dyDescent="0.2">
      <c r="AI1177" s="730">
        <v>0.88270000000001303</v>
      </c>
      <c r="AJ1177" s="731">
        <v>71.77</v>
      </c>
    </row>
    <row r="1178" spans="35:36" ht="15" x14ac:dyDescent="0.2">
      <c r="AI1178" s="730">
        <v>0.88260000000001304</v>
      </c>
      <c r="AJ1178" s="731">
        <v>71.81</v>
      </c>
    </row>
    <row r="1179" spans="35:36" ht="15" x14ac:dyDescent="0.2">
      <c r="AI1179" s="730">
        <v>0.88250000000001305</v>
      </c>
      <c r="AJ1179" s="731">
        <v>71.849999999999994</v>
      </c>
    </row>
    <row r="1180" spans="35:36" ht="15" x14ac:dyDescent="0.2">
      <c r="AI1180" s="730">
        <v>0.88240000000001295</v>
      </c>
      <c r="AJ1180" s="731">
        <v>71.89</v>
      </c>
    </row>
    <row r="1181" spans="35:36" ht="15" x14ac:dyDescent="0.2">
      <c r="AI1181" s="730">
        <v>0.88230000000001296</v>
      </c>
      <c r="AJ1181" s="731">
        <v>71.930000000000007</v>
      </c>
    </row>
    <row r="1182" spans="35:36" ht="15" x14ac:dyDescent="0.2">
      <c r="AI1182" s="730">
        <v>0.88220000000001297</v>
      </c>
      <c r="AJ1182" s="731">
        <v>71.97</v>
      </c>
    </row>
    <row r="1183" spans="35:36" ht="15" x14ac:dyDescent="0.2">
      <c r="AI1183" s="730">
        <v>0.88210000000001298</v>
      </c>
      <c r="AJ1183" s="731">
        <v>72.010000000000005</v>
      </c>
    </row>
    <row r="1184" spans="35:36" ht="15" x14ac:dyDescent="0.2">
      <c r="AI1184" s="730">
        <v>0.882000000000013</v>
      </c>
      <c r="AJ1184" s="731">
        <v>72.05</v>
      </c>
    </row>
    <row r="1185" spans="35:36" ht="15" x14ac:dyDescent="0.2">
      <c r="AI1185" s="730">
        <v>0.88190000000001301</v>
      </c>
      <c r="AJ1185" s="731">
        <v>72.09</v>
      </c>
    </row>
    <row r="1186" spans="35:36" ht="15" x14ac:dyDescent="0.2">
      <c r="AI1186" s="730">
        <v>0.88180000000001302</v>
      </c>
      <c r="AJ1186" s="731">
        <v>72.12</v>
      </c>
    </row>
    <row r="1187" spans="35:36" ht="15" x14ac:dyDescent="0.2">
      <c r="AI1187" s="730">
        <v>0.88170000000001303</v>
      </c>
      <c r="AJ1187" s="731">
        <v>72.16</v>
      </c>
    </row>
    <row r="1188" spans="35:36" ht="15" x14ac:dyDescent="0.2">
      <c r="AI1188" s="730">
        <v>0.88160000000001304</v>
      </c>
      <c r="AJ1188" s="731">
        <v>72.2</v>
      </c>
    </row>
    <row r="1189" spans="35:36" ht="15" x14ac:dyDescent="0.2">
      <c r="AI1189" s="730">
        <v>0.88150000000001305</v>
      </c>
      <c r="AJ1189" s="731">
        <v>72.239999999999995</v>
      </c>
    </row>
    <row r="1190" spans="35:36" ht="15" x14ac:dyDescent="0.2">
      <c r="AI1190" s="730">
        <v>0.88140000000001295</v>
      </c>
      <c r="AJ1190" s="731">
        <v>72.28</v>
      </c>
    </row>
    <row r="1191" spans="35:36" ht="15" x14ac:dyDescent="0.2">
      <c r="AI1191" s="730">
        <v>0.88130000000001296</v>
      </c>
      <c r="AJ1191" s="731">
        <v>72.319999999999993</v>
      </c>
    </row>
    <row r="1192" spans="35:36" ht="15" x14ac:dyDescent="0.2">
      <c r="AI1192" s="730">
        <v>0.88120000000001297</v>
      </c>
      <c r="AJ1192" s="731">
        <v>72.36</v>
      </c>
    </row>
    <row r="1193" spans="35:36" ht="15" x14ac:dyDescent="0.2">
      <c r="AI1193" s="730">
        <v>0.88110000000001298</v>
      </c>
      <c r="AJ1193" s="731">
        <v>72.400000000000006</v>
      </c>
    </row>
    <row r="1194" spans="35:36" ht="15" x14ac:dyDescent="0.2">
      <c r="AI1194" s="730">
        <v>0.88100000000001299</v>
      </c>
      <c r="AJ1194" s="731">
        <v>72.44</v>
      </c>
    </row>
    <row r="1195" spans="35:36" ht="15" x14ac:dyDescent="0.2">
      <c r="AI1195" s="730">
        <v>0.88090000000001301</v>
      </c>
      <c r="AJ1195" s="731">
        <v>72.48</v>
      </c>
    </row>
    <row r="1196" spans="35:36" ht="15" x14ac:dyDescent="0.2">
      <c r="AI1196" s="730">
        <v>0.88080000000001302</v>
      </c>
      <c r="AJ1196" s="731">
        <v>72.52</v>
      </c>
    </row>
    <row r="1197" spans="35:36" ht="15" x14ac:dyDescent="0.2">
      <c r="AI1197" s="730">
        <v>0.88070000000001303</v>
      </c>
      <c r="AJ1197" s="731">
        <v>72.56</v>
      </c>
    </row>
    <row r="1198" spans="35:36" ht="15" x14ac:dyDescent="0.2">
      <c r="AI1198" s="730">
        <v>0.88060000000001304</v>
      </c>
      <c r="AJ1198" s="731">
        <v>72.59</v>
      </c>
    </row>
    <row r="1199" spans="35:36" ht="15" x14ac:dyDescent="0.2">
      <c r="AI1199" s="730">
        <v>0.88050000000001305</v>
      </c>
      <c r="AJ1199" s="731">
        <v>72.63</v>
      </c>
    </row>
    <row r="1200" spans="35:36" ht="15" x14ac:dyDescent="0.2">
      <c r="AI1200" s="730">
        <v>0.88040000000001395</v>
      </c>
      <c r="AJ1200" s="731">
        <v>72.67</v>
      </c>
    </row>
    <row r="1201" spans="35:36" ht="15" x14ac:dyDescent="0.2">
      <c r="AI1201" s="730">
        <v>0.88030000000001396</v>
      </c>
      <c r="AJ1201" s="731">
        <v>72.709999999999994</v>
      </c>
    </row>
    <row r="1202" spans="35:36" ht="15" x14ac:dyDescent="0.2">
      <c r="AI1202" s="730">
        <v>0.88020000000001397</v>
      </c>
      <c r="AJ1202" s="731">
        <v>72.75</v>
      </c>
    </row>
    <row r="1203" spans="35:36" ht="15" x14ac:dyDescent="0.2">
      <c r="AI1203" s="730">
        <v>0.88010000000001398</v>
      </c>
      <c r="AJ1203" s="731">
        <v>72.790000000000006</v>
      </c>
    </row>
    <row r="1204" spans="35:36" ht="15" x14ac:dyDescent="0.2">
      <c r="AI1204" s="730">
        <v>0.88000000000001399</v>
      </c>
      <c r="AJ1204" s="731">
        <v>72.83</v>
      </c>
    </row>
    <row r="1205" spans="35:36" ht="15" x14ac:dyDescent="0.2">
      <c r="AI1205" s="730">
        <v>0.879900000000014</v>
      </c>
      <c r="AJ1205" s="731">
        <v>72.87</v>
      </c>
    </row>
    <row r="1206" spans="35:36" ht="15" x14ac:dyDescent="0.2">
      <c r="AI1206" s="730">
        <v>0.87980000000001402</v>
      </c>
      <c r="AJ1206" s="731">
        <v>72.91</v>
      </c>
    </row>
    <row r="1207" spans="35:36" ht="15" x14ac:dyDescent="0.2">
      <c r="AI1207" s="730">
        <v>0.87970000000001403</v>
      </c>
      <c r="AJ1207" s="731">
        <v>72.95</v>
      </c>
    </row>
    <row r="1208" spans="35:36" ht="15" x14ac:dyDescent="0.2">
      <c r="AI1208" s="730">
        <v>0.87960000000001404</v>
      </c>
      <c r="AJ1208" s="731">
        <v>72.989999999999995</v>
      </c>
    </row>
    <row r="1209" spans="35:36" ht="15" x14ac:dyDescent="0.2">
      <c r="AI1209" s="730">
        <v>0.87950000000001405</v>
      </c>
      <c r="AJ1209" s="731">
        <v>73.02</v>
      </c>
    </row>
    <row r="1210" spans="35:36" ht="15" x14ac:dyDescent="0.2">
      <c r="AI1210" s="730">
        <v>0.87940000000001395</v>
      </c>
      <c r="AJ1210" s="731">
        <v>73.06</v>
      </c>
    </row>
    <row r="1211" spans="35:36" ht="15" x14ac:dyDescent="0.2">
      <c r="AI1211" s="730">
        <v>0.87930000000001396</v>
      </c>
      <c r="AJ1211" s="731">
        <v>73.099999999999994</v>
      </c>
    </row>
    <row r="1212" spans="35:36" ht="15" x14ac:dyDescent="0.2">
      <c r="AI1212" s="730">
        <v>0.87920000000001397</v>
      </c>
      <c r="AJ1212" s="731">
        <v>73.14</v>
      </c>
    </row>
    <row r="1213" spans="35:36" ht="15" x14ac:dyDescent="0.2">
      <c r="AI1213" s="730">
        <v>0.87910000000001398</v>
      </c>
      <c r="AJ1213" s="731">
        <v>73.180000000000007</v>
      </c>
    </row>
    <row r="1214" spans="35:36" ht="15" x14ac:dyDescent="0.2">
      <c r="AI1214" s="730">
        <v>0.87900000000001399</v>
      </c>
      <c r="AJ1214" s="731">
        <v>73.22</v>
      </c>
    </row>
    <row r="1215" spans="35:36" ht="15" x14ac:dyDescent="0.2">
      <c r="AI1215" s="730">
        <v>0.878900000000014</v>
      </c>
      <c r="AJ1215" s="731">
        <v>73.260000000000005</v>
      </c>
    </row>
    <row r="1216" spans="35:36" ht="15" x14ac:dyDescent="0.2">
      <c r="AI1216" s="730">
        <v>0.87880000000001401</v>
      </c>
      <c r="AJ1216" s="731">
        <v>73.3</v>
      </c>
    </row>
    <row r="1217" spans="35:36" ht="15" x14ac:dyDescent="0.2">
      <c r="AI1217" s="730">
        <v>0.87870000000001403</v>
      </c>
      <c r="AJ1217" s="731">
        <v>73.33</v>
      </c>
    </row>
    <row r="1218" spans="35:36" ht="15" x14ac:dyDescent="0.2">
      <c r="AI1218" s="730">
        <v>0.87860000000001404</v>
      </c>
      <c r="AJ1218" s="731">
        <v>73.37</v>
      </c>
    </row>
    <row r="1219" spans="35:36" ht="15" x14ac:dyDescent="0.2">
      <c r="AI1219" s="730">
        <v>0.87850000000001405</v>
      </c>
      <c r="AJ1219" s="731">
        <v>73.41</v>
      </c>
    </row>
    <row r="1220" spans="35:36" ht="15" x14ac:dyDescent="0.2">
      <c r="AI1220" s="730">
        <v>0.87840000000001395</v>
      </c>
      <c r="AJ1220" s="731">
        <v>73.45</v>
      </c>
    </row>
    <row r="1221" spans="35:36" ht="15" x14ac:dyDescent="0.2">
      <c r="AI1221" s="730">
        <v>0.87830000000001396</v>
      </c>
      <c r="AJ1221" s="731">
        <v>73.489999999999995</v>
      </c>
    </row>
    <row r="1222" spans="35:36" ht="15" x14ac:dyDescent="0.2">
      <c r="AI1222" s="730">
        <v>0.87820000000001397</v>
      </c>
      <c r="AJ1222" s="731">
        <v>73.53</v>
      </c>
    </row>
    <row r="1223" spans="35:36" ht="15" x14ac:dyDescent="0.2">
      <c r="AI1223" s="730">
        <v>0.87810000000001398</v>
      </c>
      <c r="AJ1223" s="731">
        <v>73.569999999999993</v>
      </c>
    </row>
    <row r="1224" spans="35:36" ht="15" x14ac:dyDescent="0.2">
      <c r="AI1224" s="730">
        <v>0.87800000000001399</v>
      </c>
      <c r="AJ1224" s="731">
        <v>73.61</v>
      </c>
    </row>
    <row r="1225" spans="35:36" ht="15" x14ac:dyDescent="0.2">
      <c r="AI1225" s="730">
        <v>0.877900000000014</v>
      </c>
      <c r="AJ1225" s="731">
        <v>73.64</v>
      </c>
    </row>
    <row r="1226" spans="35:36" ht="15" x14ac:dyDescent="0.2">
      <c r="AI1226" s="730">
        <v>0.87780000000001401</v>
      </c>
      <c r="AJ1226" s="731">
        <v>73.680000000000007</v>
      </c>
    </row>
    <row r="1227" spans="35:36" ht="15" x14ac:dyDescent="0.2">
      <c r="AI1227" s="730">
        <v>0.87770000000001402</v>
      </c>
      <c r="AJ1227" s="731">
        <v>73.72</v>
      </c>
    </row>
    <row r="1228" spans="35:36" ht="15" x14ac:dyDescent="0.2">
      <c r="AI1228" s="730">
        <v>0.87760000000001404</v>
      </c>
      <c r="AJ1228" s="731">
        <v>73.760000000000005</v>
      </c>
    </row>
    <row r="1229" spans="35:36" ht="15" x14ac:dyDescent="0.2">
      <c r="AI1229" s="730">
        <v>0.87750000000001405</v>
      </c>
      <c r="AJ1229" s="731">
        <v>73.8</v>
      </c>
    </row>
    <row r="1230" spans="35:36" ht="15" x14ac:dyDescent="0.2">
      <c r="AI1230" s="730">
        <v>0.87740000000001395</v>
      </c>
      <c r="AJ1230" s="731">
        <v>73.84</v>
      </c>
    </row>
    <row r="1231" spans="35:36" ht="15" x14ac:dyDescent="0.2">
      <c r="AI1231" s="730">
        <v>0.87730000000001396</v>
      </c>
      <c r="AJ1231" s="731">
        <v>73.87</v>
      </c>
    </row>
    <row r="1232" spans="35:36" ht="15" x14ac:dyDescent="0.2">
      <c r="AI1232" s="730">
        <v>0.87720000000001397</v>
      </c>
      <c r="AJ1232" s="731">
        <v>73.91</v>
      </c>
    </row>
    <row r="1233" spans="35:36" ht="15" x14ac:dyDescent="0.2">
      <c r="AI1233" s="730">
        <v>0.87710000000001398</v>
      </c>
      <c r="AJ1233" s="731">
        <v>73.95</v>
      </c>
    </row>
    <row r="1234" spans="35:36" ht="15" x14ac:dyDescent="0.2">
      <c r="AI1234" s="730">
        <v>0.87700000000001399</v>
      </c>
      <c r="AJ1234" s="731">
        <v>73.989999999999995</v>
      </c>
    </row>
    <row r="1235" spans="35:36" ht="15" x14ac:dyDescent="0.2">
      <c r="AI1235" s="730">
        <v>0.876900000000014</v>
      </c>
      <c r="AJ1235" s="731">
        <v>74.03</v>
      </c>
    </row>
    <row r="1236" spans="35:36" ht="15" x14ac:dyDescent="0.2">
      <c r="AI1236" s="730">
        <v>0.87680000000001401</v>
      </c>
      <c r="AJ1236" s="731">
        <v>74.069999999999993</v>
      </c>
    </row>
    <row r="1237" spans="35:36" ht="15" x14ac:dyDescent="0.2">
      <c r="AI1237" s="730">
        <v>0.87670000000001402</v>
      </c>
      <c r="AJ1237" s="731">
        <v>74.11</v>
      </c>
    </row>
    <row r="1238" spans="35:36" ht="15" x14ac:dyDescent="0.2">
      <c r="AI1238" s="730">
        <v>0.87660000000001403</v>
      </c>
      <c r="AJ1238" s="731">
        <v>74.14</v>
      </c>
    </row>
    <row r="1239" spans="35:36" ht="15" x14ac:dyDescent="0.2">
      <c r="AI1239" s="730">
        <v>0.87650000000001405</v>
      </c>
      <c r="AJ1239" s="731">
        <v>74.180000000000007</v>
      </c>
    </row>
    <row r="1240" spans="35:36" ht="15" x14ac:dyDescent="0.2">
      <c r="AI1240" s="730">
        <v>0.87640000000001395</v>
      </c>
      <c r="AJ1240" s="731">
        <v>74.22</v>
      </c>
    </row>
    <row r="1241" spans="35:36" ht="15" x14ac:dyDescent="0.2">
      <c r="AI1241" s="730">
        <v>0.87630000000001396</v>
      </c>
      <c r="AJ1241" s="731">
        <v>74.260000000000005</v>
      </c>
    </row>
    <row r="1242" spans="35:36" ht="15" x14ac:dyDescent="0.2">
      <c r="AI1242" s="730">
        <v>0.87620000000001397</v>
      </c>
      <c r="AJ1242" s="731">
        <v>74.3</v>
      </c>
    </row>
    <row r="1243" spans="35:36" ht="15" x14ac:dyDescent="0.2">
      <c r="AI1243" s="730">
        <v>0.87610000000001398</v>
      </c>
      <c r="AJ1243" s="731">
        <v>74.34</v>
      </c>
    </row>
    <row r="1244" spans="35:36" ht="15" x14ac:dyDescent="0.2">
      <c r="AI1244" s="730">
        <v>0.87600000000001399</v>
      </c>
      <c r="AJ1244" s="731">
        <v>74.37</v>
      </c>
    </row>
    <row r="1245" spans="35:36" ht="15" x14ac:dyDescent="0.2">
      <c r="AI1245" s="730">
        <v>0.875900000000014</v>
      </c>
      <c r="AJ1245" s="731">
        <v>74.41</v>
      </c>
    </row>
    <row r="1246" spans="35:36" ht="15" x14ac:dyDescent="0.2">
      <c r="AI1246" s="730">
        <v>0.87580000000001401</v>
      </c>
      <c r="AJ1246" s="731">
        <v>74.45</v>
      </c>
    </row>
    <row r="1247" spans="35:36" ht="15" x14ac:dyDescent="0.2">
      <c r="AI1247" s="730">
        <v>0.87570000000001402</v>
      </c>
      <c r="AJ1247" s="731">
        <v>74.489999999999995</v>
      </c>
    </row>
    <row r="1248" spans="35:36" ht="15" x14ac:dyDescent="0.2">
      <c r="AI1248" s="730">
        <v>0.87560000000001403</v>
      </c>
      <c r="AJ1248" s="731">
        <v>74.53</v>
      </c>
    </row>
    <row r="1249" spans="35:36" ht="15" x14ac:dyDescent="0.2">
      <c r="AI1249" s="730">
        <v>0.87550000000001404</v>
      </c>
      <c r="AJ1249" s="731">
        <v>74.569999999999993</v>
      </c>
    </row>
    <row r="1250" spans="35:36" ht="15" x14ac:dyDescent="0.2">
      <c r="AI1250" s="730">
        <v>0.87540000000001394</v>
      </c>
      <c r="AJ1250" s="731">
        <v>74.599999999999994</v>
      </c>
    </row>
    <row r="1251" spans="35:36" ht="15" x14ac:dyDescent="0.2">
      <c r="AI1251" s="730">
        <v>0.87530000000001396</v>
      </c>
      <c r="AJ1251" s="731">
        <v>74.64</v>
      </c>
    </row>
    <row r="1252" spans="35:36" ht="15" x14ac:dyDescent="0.2">
      <c r="AI1252" s="730">
        <v>0.87520000000001397</v>
      </c>
      <c r="AJ1252" s="731">
        <v>74.680000000000007</v>
      </c>
    </row>
    <row r="1253" spans="35:36" ht="15" x14ac:dyDescent="0.2">
      <c r="AI1253" s="730">
        <v>0.87510000000001398</v>
      </c>
      <c r="AJ1253" s="731">
        <v>74.72</v>
      </c>
    </row>
    <row r="1254" spans="35:36" ht="15" x14ac:dyDescent="0.2">
      <c r="AI1254" s="730">
        <v>0.87500000000001399</v>
      </c>
      <c r="AJ1254" s="731">
        <v>74.78</v>
      </c>
    </row>
    <row r="1255" spans="35:36" ht="15" x14ac:dyDescent="0.2">
      <c r="AI1255" s="730">
        <v>0.874900000000014</v>
      </c>
      <c r="AJ1255" s="731">
        <v>74.8</v>
      </c>
    </row>
    <row r="1256" spans="35:36" ht="15" x14ac:dyDescent="0.2">
      <c r="AI1256" s="730">
        <v>0.87480000000001401</v>
      </c>
      <c r="AJ1256" s="731">
        <v>74.83</v>
      </c>
    </row>
    <row r="1257" spans="35:36" ht="15" x14ac:dyDescent="0.2">
      <c r="AI1257" s="730">
        <v>0.87470000000001402</v>
      </c>
      <c r="AJ1257" s="731">
        <v>74.87</v>
      </c>
    </row>
    <row r="1258" spans="35:36" ht="15" x14ac:dyDescent="0.2">
      <c r="AI1258" s="730">
        <v>0.87460000000001403</v>
      </c>
      <c r="AJ1258" s="731">
        <v>74.91</v>
      </c>
    </row>
    <row r="1259" spans="35:36" ht="15" x14ac:dyDescent="0.2">
      <c r="AI1259" s="730">
        <v>0.87450000000001404</v>
      </c>
      <c r="AJ1259" s="731">
        <v>74.95</v>
      </c>
    </row>
    <row r="1260" spans="35:36" ht="15" x14ac:dyDescent="0.2">
      <c r="AI1260" s="730">
        <v>0.87440000000001405</v>
      </c>
      <c r="AJ1260" s="731">
        <v>74.989999999999995</v>
      </c>
    </row>
    <row r="1261" spans="35:36" ht="15" x14ac:dyDescent="0.2">
      <c r="AI1261" s="730">
        <v>0.87430000000001395</v>
      </c>
      <c r="AJ1261" s="731">
        <v>75.03</v>
      </c>
    </row>
    <row r="1262" spans="35:36" ht="15" x14ac:dyDescent="0.2">
      <c r="AI1262" s="730">
        <v>0.87420000000001397</v>
      </c>
      <c r="AJ1262" s="731">
        <v>75.06</v>
      </c>
    </row>
    <row r="1263" spans="35:36" ht="15" x14ac:dyDescent="0.2">
      <c r="AI1263" s="730">
        <v>0.87410000000001398</v>
      </c>
      <c r="AJ1263" s="731">
        <v>75.099999999999994</v>
      </c>
    </row>
    <row r="1264" spans="35:36" ht="15" x14ac:dyDescent="0.2">
      <c r="AI1264" s="730">
        <v>0.87400000000001399</v>
      </c>
      <c r="AJ1264" s="731">
        <v>75.14</v>
      </c>
    </row>
    <row r="1265" spans="35:36" ht="15" x14ac:dyDescent="0.2">
      <c r="AI1265" s="730">
        <v>0.873900000000014</v>
      </c>
      <c r="AJ1265" s="731">
        <v>75.180000000000007</v>
      </c>
    </row>
    <row r="1266" spans="35:36" ht="15" x14ac:dyDescent="0.2">
      <c r="AI1266" s="730">
        <v>0.87380000000001401</v>
      </c>
      <c r="AJ1266" s="731">
        <v>75.22</v>
      </c>
    </row>
    <row r="1267" spans="35:36" ht="15" x14ac:dyDescent="0.2">
      <c r="AI1267" s="730">
        <v>0.87370000000001402</v>
      </c>
      <c r="AJ1267" s="731">
        <v>75.25</v>
      </c>
    </row>
    <row r="1268" spans="35:36" ht="15" x14ac:dyDescent="0.2">
      <c r="AI1268" s="730">
        <v>0.87360000000001403</v>
      </c>
      <c r="AJ1268" s="731">
        <v>75.290000000000006</v>
      </c>
    </row>
    <row r="1269" spans="35:36" ht="15" x14ac:dyDescent="0.2">
      <c r="AI1269" s="730">
        <v>0.87350000000001404</v>
      </c>
      <c r="AJ1269" s="731">
        <v>75.33</v>
      </c>
    </row>
    <row r="1270" spans="35:36" ht="15" x14ac:dyDescent="0.2">
      <c r="AI1270" s="730">
        <v>0.87340000000001405</v>
      </c>
      <c r="AJ1270" s="731">
        <v>75.37</v>
      </c>
    </row>
    <row r="1271" spans="35:36" ht="15" x14ac:dyDescent="0.2">
      <c r="AI1271" s="730">
        <v>0.87330000000001395</v>
      </c>
      <c r="AJ1271" s="731">
        <v>75.41</v>
      </c>
    </row>
    <row r="1272" spans="35:36" ht="15" x14ac:dyDescent="0.2">
      <c r="AI1272" s="730">
        <v>0.87320000000001397</v>
      </c>
      <c r="AJ1272" s="731">
        <v>75.44</v>
      </c>
    </row>
    <row r="1273" spans="35:36" ht="15" x14ac:dyDescent="0.2">
      <c r="AI1273" s="730">
        <v>0.87310000000001398</v>
      </c>
      <c r="AJ1273" s="731">
        <v>75.48</v>
      </c>
    </row>
    <row r="1274" spans="35:36" ht="15" x14ac:dyDescent="0.2">
      <c r="AI1274" s="730">
        <v>0.87300000000001399</v>
      </c>
      <c r="AJ1274" s="731">
        <v>75.52</v>
      </c>
    </row>
    <row r="1275" spans="35:36" ht="15" x14ac:dyDescent="0.2">
      <c r="AI1275" s="730">
        <v>0.872900000000014</v>
      </c>
      <c r="AJ1275" s="731">
        <v>75.56</v>
      </c>
    </row>
    <row r="1276" spans="35:36" ht="15" x14ac:dyDescent="0.2">
      <c r="AI1276" s="730">
        <v>0.87280000000001401</v>
      </c>
      <c r="AJ1276" s="731">
        <v>75.599999999999994</v>
      </c>
    </row>
    <row r="1277" spans="35:36" ht="15" x14ac:dyDescent="0.2">
      <c r="AI1277" s="730">
        <v>0.87270000000001402</v>
      </c>
      <c r="AJ1277" s="731">
        <v>75.63</v>
      </c>
    </row>
    <row r="1278" spans="35:36" ht="15" x14ac:dyDescent="0.2">
      <c r="AI1278" s="730">
        <v>0.87260000000001403</v>
      </c>
      <c r="AJ1278" s="731">
        <v>75.67</v>
      </c>
    </row>
    <row r="1279" spans="35:36" ht="15" x14ac:dyDescent="0.2">
      <c r="AI1279" s="730">
        <v>0.87250000000001404</v>
      </c>
      <c r="AJ1279" s="731">
        <v>75.709999999999994</v>
      </c>
    </row>
    <row r="1280" spans="35:36" ht="15" x14ac:dyDescent="0.2">
      <c r="AI1280" s="730">
        <v>0.87240000000001405</v>
      </c>
      <c r="AJ1280" s="731">
        <v>75.75</v>
      </c>
    </row>
    <row r="1281" spans="35:36" ht="15" x14ac:dyDescent="0.2">
      <c r="AI1281" s="730">
        <v>0.87230000000001395</v>
      </c>
      <c r="AJ1281" s="731">
        <v>75.78</v>
      </c>
    </row>
    <row r="1282" spans="35:36" ht="15" x14ac:dyDescent="0.2">
      <c r="AI1282" s="730">
        <v>0.87220000000001396</v>
      </c>
      <c r="AJ1282" s="731">
        <v>75.819999999999993</v>
      </c>
    </row>
    <row r="1283" spans="35:36" ht="15" x14ac:dyDescent="0.2">
      <c r="AI1283" s="730">
        <v>0.87210000000001398</v>
      </c>
      <c r="AJ1283" s="731">
        <v>75.86</v>
      </c>
    </row>
    <row r="1284" spans="35:36" ht="15" x14ac:dyDescent="0.2">
      <c r="AI1284" s="730">
        <v>0.87200000000001399</v>
      </c>
      <c r="AJ1284" s="731">
        <v>75.900000000000006</v>
      </c>
    </row>
    <row r="1285" spans="35:36" ht="15" x14ac:dyDescent="0.2">
      <c r="AI1285" s="730">
        <v>0.871900000000014</v>
      </c>
      <c r="AJ1285" s="731">
        <v>75.930000000000007</v>
      </c>
    </row>
    <row r="1286" spans="35:36" ht="15" x14ac:dyDescent="0.2">
      <c r="AI1286" s="730">
        <v>0.87180000000001401</v>
      </c>
      <c r="AJ1286" s="731">
        <v>75.97</v>
      </c>
    </row>
    <row r="1287" spans="35:36" ht="15" x14ac:dyDescent="0.2">
      <c r="AI1287" s="730">
        <v>0.87170000000001402</v>
      </c>
      <c r="AJ1287" s="731">
        <v>76.010000000000005</v>
      </c>
    </row>
    <row r="1288" spans="35:36" ht="15" x14ac:dyDescent="0.2">
      <c r="AI1288" s="730">
        <v>0.87160000000001403</v>
      </c>
      <c r="AJ1288" s="731">
        <v>76.05</v>
      </c>
    </row>
    <row r="1289" spans="35:36" ht="15" x14ac:dyDescent="0.2">
      <c r="AI1289" s="730">
        <v>0.87150000000001404</v>
      </c>
      <c r="AJ1289" s="731">
        <v>76.09</v>
      </c>
    </row>
    <row r="1290" spans="35:36" ht="15" x14ac:dyDescent="0.2">
      <c r="AI1290" s="730">
        <v>0.87140000000001405</v>
      </c>
      <c r="AJ1290" s="731">
        <v>76.12</v>
      </c>
    </row>
    <row r="1291" spans="35:36" ht="15" x14ac:dyDescent="0.2">
      <c r="AI1291" s="730">
        <v>0.87130000000001495</v>
      </c>
      <c r="AJ1291" s="731">
        <v>76.16</v>
      </c>
    </row>
    <row r="1292" spans="35:36" ht="15" x14ac:dyDescent="0.2">
      <c r="AI1292" s="730">
        <v>0.87120000000001496</v>
      </c>
      <c r="AJ1292" s="731">
        <v>76.2</v>
      </c>
    </row>
    <row r="1293" spans="35:36" ht="15" x14ac:dyDescent="0.2">
      <c r="AI1293" s="730">
        <v>0.87110000000001497</v>
      </c>
      <c r="AJ1293" s="731">
        <v>76.239999999999995</v>
      </c>
    </row>
    <row r="1294" spans="35:36" ht="15" x14ac:dyDescent="0.2">
      <c r="AI1294" s="730">
        <v>0.87100000000001498</v>
      </c>
      <c r="AJ1294" s="731">
        <v>76.27</v>
      </c>
    </row>
    <row r="1295" spans="35:36" ht="15" x14ac:dyDescent="0.2">
      <c r="AI1295" s="730">
        <v>0.870900000000015</v>
      </c>
      <c r="AJ1295" s="731">
        <v>76.31</v>
      </c>
    </row>
    <row r="1296" spans="35:36" ht="15" x14ac:dyDescent="0.2">
      <c r="AI1296" s="730">
        <v>0.87080000000001501</v>
      </c>
      <c r="AJ1296" s="731">
        <v>76.349999999999994</v>
      </c>
    </row>
    <row r="1297" spans="35:36" ht="15" x14ac:dyDescent="0.2">
      <c r="AI1297" s="730">
        <v>0.87070000000001502</v>
      </c>
      <c r="AJ1297" s="731">
        <v>76.39</v>
      </c>
    </row>
    <row r="1298" spans="35:36" ht="15" x14ac:dyDescent="0.2">
      <c r="AI1298" s="730">
        <v>0.87060000000001503</v>
      </c>
      <c r="AJ1298" s="731">
        <v>76.42</v>
      </c>
    </row>
    <row r="1299" spans="35:36" ht="15" x14ac:dyDescent="0.2">
      <c r="AI1299" s="730">
        <v>0.87050000000001504</v>
      </c>
      <c r="AJ1299" s="731">
        <v>76.459999999999994</v>
      </c>
    </row>
    <row r="1300" spans="35:36" ht="15" x14ac:dyDescent="0.2">
      <c r="AI1300" s="730">
        <v>0.87040000000001505</v>
      </c>
      <c r="AJ1300" s="731">
        <v>76.5</v>
      </c>
    </row>
    <row r="1301" spans="35:36" ht="15" x14ac:dyDescent="0.2">
      <c r="AI1301" s="730">
        <v>0.87030000000001495</v>
      </c>
      <c r="AJ1301" s="731">
        <v>76.540000000000006</v>
      </c>
    </row>
    <row r="1302" spans="35:36" ht="15" x14ac:dyDescent="0.2">
      <c r="AI1302" s="730">
        <v>0.87020000000001496</v>
      </c>
      <c r="AJ1302" s="731">
        <v>76.569999999999993</v>
      </c>
    </row>
    <row r="1303" spans="35:36" ht="15" x14ac:dyDescent="0.2">
      <c r="AI1303" s="730">
        <v>0.87010000000001497</v>
      </c>
      <c r="AJ1303" s="731">
        <v>76.61</v>
      </c>
    </row>
    <row r="1304" spans="35:36" ht="15" x14ac:dyDescent="0.2">
      <c r="AI1304" s="730">
        <v>0.87000000000001498</v>
      </c>
      <c r="AJ1304" s="731">
        <v>76.650000000000006</v>
      </c>
    </row>
    <row r="1305" spans="35:36" ht="15" x14ac:dyDescent="0.2">
      <c r="AI1305" s="730">
        <v>0.86990000000001499</v>
      </c>
      <c r="AJ1305" s="731">
        <v>76.680000000000007</v>
      </c>
    </row>
    <row r="1306" spans="35:36" ht="15" x14ac:dyDescent="0.2">
      <c r="AI1306" s="730">
        <v>0.86980000000001501</v>
      </c>
      <c r="AJ1306" s="731">
        <v>76.72</v>
      </c>
    </row>
    <row r="1307" spans="35:36" ht="15" x14ac:dyDescent="0.2">
      <c r="AI1307" s="730">
        <v>0.86970000000001502</v>
      </c>
      <c r="AJ1307" s="731">
        <v>76.760000000000005</v>
      </c>
    </row>
    <row r="1308" spans="35:36" ht="15" x14ac:dyDescent="0.2">
      <c r="AI1308" s="730">
        <v>0.86960000000001503</v>
      </c>
      <c r="AJ1308" s="731">
        <v>76.8</v>
      </c>
    </row>
    <row r="1309" spans="35:36" ht="15" x14ac:dyDescent="0.2">
      <c r="AI1309" s="730">
        <v>0.86950000000001504</v>
      </c>
      <c r="AJ1309" s="731">
        <v>76.83</v>
      </c>
    </row>
    <row r="1310" spans="35:36" ht="15" x14ac:dyDescent="0.2">
      <c r="AI1310" s="730">
        <v>0.86940000000001505</v>
      </c>
      <c r="AJ1310" s="731">
        <v>76.87</v>
      </c>
    </row>
    <row r="1311" spans="35:36" ht="15" x14ac:dyDescent="0.2">
      <c r="AI1311" s="730">
        <v>0.86930000000001495</v>
      </c>
      <c r="AJ1311" s="731">
        <v>76.91</v>
      </c>
    </row>
    <row r="1312" spans="35:36" ht="15" x14ac:dyDescent="0.2">
      <c r="AI1312" s="730">
        <v>0.86920000000001496</v>
      </c>
      <c r="AJ1312" s="731">
        <v>76.94</v>
      </c>
    </row>
    <row r="1313" spans="35:36" ht="15" x14ac:dyDescent="0.2">
      <c r="AI1313" s="730">
        <v>0.86910000000001497</v>
      </c>
      <c r="AJ1313" s="731">
        <v>76.98</v>
      </c>
    </row>
    <row r="1314" spans="35:36" ht="15" x14ac:dyDescent="0.2">
      <c r="AI1314" s="730">
        <v>0.86900000000001498</v>
      </c>
      <c r="AJ1314" s="731">
        <v>77.02</v>
      </c>
    </row>
    <row r="1315" spans="35:36" ht="15" x14ac:dyDescent="0.2">
      <c r="AI1315" s="730">
        <v>0.86890000000001499</v>
      </c>
      <c r="AJ1315" s="731">
        <v>77.06</v>
      </c>
    </row>
    <row r="1316" spans="35:36" ht="15" x14ac:dyDescent="0.2">
      <c r="AI1316" s="730">
        <v>0.868800000000015</v>
      </c>
      <c r="AJ1316" s="731">
        <v>77.09</v>
      </c>
    </row>
    <row r="1317" spans="35:36" ht="15" x14ac:dyDescent="0.2">
      <c r="AI1317" s="730">
        <v>0.86870000000001502</v>
      </c>
      <c r="AJ1317" s="731">
        <v>77.13</v>
      </c>
    </row>
    <row r="1318" spans="35:36" ht="15" x14ac:dyDescent="0.2">
      <c r="AI1318" s="730">
        <v>0.86860000000001503</v>
      </c>
      <c r="AJ1318" s="731">
        <v>77.17</v>
      </c>
    </row>
    <row r="1319" spans="35:36" ht="15" x14ac:dyDescent="0.2">
      <c r="AI1319" s="730">
        <v>0.86850000000001504</v>
      </c>
      <c r="AJ1319" s="731">
        <v>77.2</v>
      </c>
    </row>
    <row r="1320" spans="35:36" ht="15" x14ac:dyDescent="0.2">
      <c r="AI1320" s="730">
        <v>0.86840000000001505</v>
      </c>
      <c r="AJ1320" s="731">
        <v>77.239999999999995</v>
      </c>
    </row>
    <row r="1321" spans="35:36" ht="15" x14ac:dyDescent="0.2">
      <c r="AI1321" s="730">
        <v>0.86830000000001495</v>
      </c>
      <c r="AJ1321" s="731">
        <v>77.28</v>
      </c>
    </row>
    <row r="1322" spans="35:36" ht="15" x14ac:dyDescent="0.2">
      <c r="AI1322" s="730">
        <v>0.86820000000001496</v>
      </c>
      <c r="AJ1322" s="731">
        <v>77.319999999999993</v>
      </c>
    </row>
    <row r="1323" spans="35:36" ht="15" x14ac:dyDescent="0.2">
      <c r="AI1323" s="730">
        <v>0.86810000000001497</v>
      </c>
      <c r="AJ1323" s="731">
        <v>77.349999999999994</v>
      </c>
    </row>
    <row r="1324" spans="35:36" ht="15" x14ac:dyDescent="0.2">
      <c r="AI1324" s="730">
        <v>0.86800000000001498</v>
      </c>
      <c r="AJ1324" s="731">
        <v>77.39</v>
      </c>
    </row>
    <row r="1325" spans="35:36" ht="15" x14ac:dyDescent="0.2">
      <c r="AI1325" s="730">
        <v>0.86790000000001499</v>
      </c>
      <c r="AJ1325" s="731">
        <v>77.430000000000007</v>
      </c>
    </row>
    <row r="1326" spans="35:36" ht="15" x14ac:dyDescent="0.2">
      <c r="AI1326" s="730">
        <v>0.867800000000015</v>
      </c>
      <c r="AJ1326" s="731">
        <v>77.459999999999994</v>
      </c>
    </row>
    <row r="1327" spans="35:36" ht="15" x14ac:dyDescent="0.2">
      <c r="AI1327" s="730">
        <v>0.86770000000001501</v>
      </c>
      <c r="AJ1327" s="731">
        <v>77.5</v>
      </c>
    </row>
    <row r="1328" spans="35:36" ht="15" x14ac:dyDescent="0.2">
      <c r="AI1328" s="730">
        <v>0.86760000000001503</v>
      </c>
      <c r="AJ1328" s="731">
        <v>77.540000000000006</v>
      </c>
    </row>
    <row r="1329" spans="35:36" ht="15" x14ac:dyDescent="0.2">
      <c r="AI1329" s="730">
        <v>0.86750000000001504</v>
      </c>
      <c r="AJ1329" s="731">
        <v>77.569999999999993</v>
      </c>
    </row>
    <row r="1330" spans="35:36" ht="15" x14ac:dyDescent="0.2">
      <c r="AI1330" s="730">
        <v>0.86740000000001505</v>
      </c>
      <c r="AJ1330" s="731">
        <v>77.61</v>
      </c>
    </row>
    <row r="1331" spans="35:36" ht="15" x14ac:dyDescent="0.2">
      <c r="AI1331" s="730">
        <v>0.86730000000001495</v>
      </c>
      <c r="AJ1331" s="731">
        <v>77.650000000000006</v>
      </c>
    </row>
    <row r="1332" spans="35:36" ht="15" x14ac:dyDescent="0.2">
      <c r="AI1332" s="730">
        <v>0.86720000000001496</v>
      </c>
      <c r="AJ1332" s="731">
        <v>77.680000000000007</v>
      </c>
    </row>
    <row r="1333" spans="35:36" ht="15" x14ac:dyDescent="0.2">
      <c r="AI1333" s="730">
        <v>0.86710000000001497</v>
      </c>
      <c r="AJ1333" s="731">
        <v>77.72</v>
      </c>
    </row>
    <row r="1334" spans="35:36" ht="15" x14ac:dyDescent="0.2">
      <c r="AI1334" s="730">
        <v>0.86700000000001498</v>
      </c>
      <c r="AJ1334" s="731">
        <v>77.760000000000005</v>
      </c>
    </row>
    <row r="1335" spans="35:36" ht="15" x14ac:dyDescent="0.2">
      <c r="AI1335" s="730">
        <v>0.86690000000001499</v>
      </c>
      <c r="AJ1335" s="731">
        <v>77.790000000000006</v>
      </c>
    </row>
    <row r="1336" spans="35:36" ht="15" x14ac:dyDescent="0.2">
      <c r="AI1336" s="730">
        <v>0.866800000000015</v>
      </c>
      <c r="AJ1336" s="731">
        <v>77.83</v>
      </c>
    </row>
    <row r="1337" spans="35:36" ht="15" x14ac:dyDescent="0.2">
      <c r="AI1337" s="730">
        <v>0.86670000000001501</v>
      </c>
      <c r="AJ1337" s="731">
        <v>77.87</v>
      </c>
    </row>
    <row r="1338" spans="35:36" ht="15" x14ac:dyDescent="0.2">
      <c r="AI1338" s="730">
        <v>0.86660000000001502</v>
      </c>
      <c r="AJ1338" s="731">
        <v>77.900000000000006</v>
      </c>
    </row>
    <row r="1339" spans="35:36" ht="15" x14ac:dyDescent="0.2">
      <c r="AI1339" s="730">
        <v>0.86650000000001504</v>
      </c>
      <c r="AJ1339" s="731">
        <v>77.94</v>
      </c>
    </row>
    <row r="1340" spans="35:36" ht="15" x14ac:dyDescent="0.2">
      <c r="AI1340" s="730">
        <v>0.86640000000001505</v>
      </c>
      <c r="AJ1340" s="731">
        <v>77.98</v>
      </c>
    </row>
    <row r="1341" spans="35:36" ht="15" x14ac:dyDescent="0.2">
      <c r="AI1341" s="730">
        <v>0.86630000000001495</v>
      </c>
      <c r="AJ1341" s="731">
        <v>78.010000000000005</v>
      </c>
    </row>
    <row r="1342" spans="35:36" ht="15" x14ac:dyDescent="0.2">
      <c r="AI1342" s="730">
        <v>0.86620000000001496</v>
      </c>
      <c r="AJ1342" s="731">
        <v>78.05</v>
      </c>
    </row>
    <row r="1343" spans="35:36" ht="15" x14ac:dyDescent="0.2">
      <c r="AI1343" s="730">
        <v>0.86610000000001497</v>
      </c>
      <c r="AJ1343" s="731">
        <v>78.09</v>
      </c>
    </row>
    <row r="1344" spans="35:36" ht="15" x14ac:dyDescent="0.2">
      <c r="AI1344" s="730">
        <v>0.86600000000001498</v>
      </c>
      <c r="AJ1344" s="731">
        <v>78.12</v>
      </c>
    </row>
    <row r="1345" spans="35:36" ht="15" x14ac:dyDescent="0.2">
      <c r="AI1345" s="730">
        <v>0.86590000000001499</v>
      </c>
      <c r="AJ1345" s="731">
        <v>78.16</v>
      </c>
    </row>
    <row r="1346" spans="35:36" ht="15" x14ac:dyDescent="0.2">
      <c r="AI1346" s="730">
        <v>0.865800000000015</v>
      </c>
      <c r="AJ1346" s="731">
        <v>78.2</v>
      </c>
    </row>
    <row r="1347" spans="35:36" ht="15" x14ac:dyDescent="0.2">
      <c r="AI1347" s="730">
        <v>0.86570000000001501</v>
      </c>
      <c r="AJ1347" s="731">
        <v>78.23</v>
      </c>
    </row>
    <row r="1348" spans="35:36" ht="15" x14ac:dyDescent="0.2">
      <c r="AI1348" s="730">
        <v>0.86560000000001502</v>
      </c>
      <c r="AJ1348" s="731">
        <v>78.27</v>
      </c>
    </row>
    <row r="1349" spans="35:36" ht="15" x14ac:dyDescent="0.2">
      <c r="AI1349" s="730">
        <v>0.86550000000001504</v>
      </c>
      <c r="AJ1349" s="731">
        <v>78.31</v>
      </c>
    </row>
    <row r="1350" spans="35:36" ht="15" x14ac:dyDescent="0.2">
      <c r="AI1350" s="730">
        <v>0.86540000000001505</v>
      </c>
      <c r="AJ1350" s="731">
        <v>78.34</v>
      </c>
    </row>
    <row r="1351" spans="35:36" ht="15" x14ac:dyDescent="0.2">
      <c r="AI1351" s="730">
        <v>0.86530000000001495</v>
      </c>
      <c r="AJ1351" s="731">
        <v>78.38</v>
      </c>
    </row>
    <row r="1352" spans="35:36" ht="15" x14ac:dyDescent="0.2">
      <c r="AI1352" s="730">
        <v>0.86520000000001496</v>
      </c>
      <c r="AJ1352" s="731">
        <v>78.42</v>
      </c>
    </row>
    <row r="1353" spans="35:36" ht="15" x14ac:dyDescent="0.2">
      <c r="AI1353" s="730">
        <v>0.86510000000001497</v>
      </c>
      <c r="AJ1353" s="731">
        <v>78.45</v>
      </c>
    </row>
    <row r="1354" spans="35:36" ht="15" x14ac:dyDescent="0.2">
      <c r="AI1354" s="730">
        <v>0.86500000000001498</v>
      </c>
      <c r="AJ1354" s="731">
        <v>78.489999999999995</v>
      </c>
    </row>
    <row r="1355" spans="35:36" ht="15" x14ac:dyDescent="0.2">
      <c r="AI1355" s="730">
        <v>0.86490000000001499</v>
      </c>
      <c r="AJ1355" s="731">
        <v>78.52</v>
      </c>
    </row>
    <row r="1356" spans="35:36" ht="15" x14ac:dyDescent="0.2">
      <c r="AI1356" s="730">
        <v>0.864800000000015</v>
      </c>
      <c r="AJ1356" s="731">
        <v>78.56</v>
      </c>
    </row>
    <row r="1357" spans="35:36" ht="15" x14ac:dyDescent="0.2">
      <c r="AI1357" s="730">
        <v>0.86470000000001501</v>
      </c>
      <c r="AJ1357" s="731">
        <v>78.599999999999994</v>
      </c>
    </row>
    <row r="1358" spans="35:36" ht="15" x14ac:dyDescent="0.2">
      <c r="AI1358" s="730">
        <v>0.86460000000001502</v>
      </c>
      <c r="AJ1358" s="731">
        <v>78.63</v>
      </c>
    </row>
    <row r="1359" spans="35:36" ht="15" x14ac:dyDescent="0.2">
      <c r="AI1359" s="730">
        <v>0.86450000000001503</v>
      </c>
      <c r="AJ1359" s="731">
        <v>78.67</v>
      </c>
    </row>
    <row r="1360" spans="35:36" ht="15" x14ac:dyDescent="0.2">
      <c r="AI1360" s="730">
        <v>0.86440000000001505</v>
      </c>
      <c r="AJ1360" s="731">
        <v>78.709999999999994</v>
      </c>
    </row>
    <row r="1361" spans="35:36" ht="15" x14ac:dyDescent="0.2">
      <c r="AI1361" s="730">
        <v>0.86430000000001495</v>
      </c>
      <c r="AJ1361" s="731">
        <v>78.739999999999995</v>
      </c>
    </row>
    <row r="1362" spans="35:36" ht="15" x14ac:dyDescent="0.2">
      <c r="AI1362" s="730">
        <v>0.86420000000001496</v>
      </c>
      <c r="AJ1362" s="731">
        <v>78.78</v>
      </c>
    </row>
    <row r="1363" spans="35:36" ht="15" x14ac:dyDescent="0.2">
      <c r="AI1363" s="730">
        <v>0.86410000000001497</v>
      </c>
      <c r="AJ1363" s="731">
        <v>78.819999999999993</v>
      </c>
    </row>
    <row r="1364" spans="35:36" ht="15" x14ac:dyDescent="0.2">
      <c r="AI1364" s="730">
        <v>0.86400000000001498</v>
      </c>
      <c r="AJ1364" s="731">
        <v>78.849999999999994</v>
      </c>
    </row>
    <row r="1365" spans="35:36" ht="15" x14ac:dyDescent="0.2">
      <c r="AI1365" s="730">
        <v>0.86390000000001499</v>
      </c>
      <c r="AJ1365" s="731">
        <v>78.89</v>
      </c>
    </row>
    <row r="1366" spans="35:36" ht="15" x14ac:dyDescent="0.2">
      <c r="AI1366" s="730">
        <v>0.863800000000015</v>
      </c>
      <c r="AJ1366" s="731">
        <v>78.930000000000007</v>
      </c>
    </row>
    <row r="1367" spans="35:36" ht="15" x14ac:dyDescent="0.2">
      <c r="AI1367" s="730">
        <v>0.86370000000001501</v>
      </c>
      <c r="AJ1367" s="731">
        <v>78.959999999999994</v>
      </c>
    </row>
    <row r="1368" spans="35:36" ht="15" x14ac:dyDescent="0.2">
      <c r="AI1368" s="730">
        <v>0.86360000000001502</v>
      </c>
      <c r="AJ1368" s="731">
        <v>79</v>
      </c>
    </row>
    <row r="1369" spans="35:36" ht="15" x14ac:dyDescent="0.2">
      <c r="AI1369" s="730">
        <v>0.86350000000001503</v>
      </c>
      <c r="AJ1369" s="731">
        <v>79.03</v>
      </c>
    </row>
    <row r="1370" spans="35:36" ht="15" x14ac:dyDescent="0.2">
      <c r="AI1370" s="730">
        <v>0.86340000000001504</v>
      </c>
      <c r="AJ1370" s="731">
        <v>79.069999999999993</v>
      </c>
    </row>
    <row r="1371" spans="35:36" ht="15" x14ac:dyDescent="0.2">
      <c r="AI1371" s="730">
        <v>0.86330000000001506</v>
      </c>
      <c r="AJ1371" s="731">
        <v>79.11</v>
      </c>
    </row>
    <row r="1372" spans="35:36" ht="15" x14ac:dyDescent="0.2">
      <c r="AI1372" s="730">
        <v>0.86320000000001496</v>
      </c>
      <c r="AJ1372" s="731">
        <v>79.14</v>
      </c>
    </row>
    <row r="1373" spans="35:36" ht="15" x14ac:dyDescent="0.2">
      <c r="AI1373" s="730">
        <v>0.86310000000001497</v>
      </c>
      <c r="AJ1373" s="731">
        <v>79.180000000000007</v>
      </c>
    </row>
    <row r="1374" spans="35:36" ht="15" x14ac:dyDescent="0.2">
      <c r="AI1374" s="730">
        <v>0.86300000000001498</v>
      </c>
      <c r="AJ1374" s="731">
        <v>79.22</v>
      </c>
    </row>
    <row r="1375" spans="35:36" ht="15" x14ac:dyDescent="0.2">
      <c r="AI1375" s="730">
        <v>0.86290000000001499</v>
      </c>
      <c r="AJ1375" s="731">
        <v>79.25</v>
      </c>
    </row>
    <row r="1376" spans="35:36" ht="15" x14ac:dyDescent="0.2">
      <c r="AI1376" s="730">
        <v>0.862800000000015</v>
      </c>
      <c r="AJ1376" s="731">
        <v>79.290000000000006</v>
      </c>
    </row>
    <row r="1377" spans="35:36" ht="15" x14ac:dyDescent="0.2">
      <c r="AI1377" s="730">
        <v>0.86270000000001501</v>
      </c>
      <c r="AJ1377" s="731">
        <v>79.319999999999993</v>
      </c>
    </row>
    <row r="1378" spans="35:36" ht="15" x14ac:dyDescent="0.2">
      <c r="AI1378" s="730">
        <v>0.86260000000001502</v>
      </c>
      <c r="AJ1378" s="731">
        <v>79.36</v>
      </c>
    </row>
    <row r="1379" spans="35:36" ht="15" x14ac:dyDescent="0.2">
      <c r="AI1379" s="730">
        <v>0.86250000000001503</v>
      </c>
      <c r="AJ1379" s="731">
        <v>79.400000000000006</v>
      </c>
    </row>
    <row r="1380" spans="35:36" ht="15" x14ac:dyDescent="0.2">
      <c r="AI1380" s="730">
        <v>0.86240000000001504</v>
      </c>
      <c r="AJ1380" s="731">
        <v>79.430000000000007</v>
      </c>
    </row>
    <row r="1381" spans="35:36" ht="15" x14ac:dyDescent="0.2">
      <c r="AI1381" s="730">
        <v>0.86230000000001505</v>
      </c>
      <c r="AJ1381" s="731">
        <v>79.47</v>
      </c>
    </row>
    <row r="1382" spans="35:36" ht="15" x14ac:dyDescent="0.2">
      <c r="AI1382" s="730">
        <v>0.86220000000001595</v>
      </c>
      <c r="AJ1382" s="731">
        <v>79.5</v>
      </c>
    </row>
    <row r="1383" spans="35:36" ht="15" x14ac:dyDescent="0.2">
      <c r="AI1383" s="730">
        <v>0.86210000000001596</v>
      </c>
      <c r="AJ1383" s="731">
        <v>79.540000000000006</v>
      </c>
    </row>
    <row r="1384" spans="35:36" ht="15" x14ac:dyDescent="0.2">
      <c r="AI1384" s="730">
        <v>0.86200000000001598</v>
      </c>
      <c r="AJ1384" s="731">
        <v>79.58</v>
      </c>
    </row>
    <row r="1385" spans="35:36" ht="15" x14ac:dyDescent="0.2">
      <c r="AI1385" s="730">
        <v>0.86190000000001599</v>
      </c>
      <c r="AJ1385" s="731">
        <v>79.61</v>
      </c>
    </row>
    <row r="1386" spans="35:36" ht="15" x14ac:dyDescent="0.2">
      <c r="AI1386" s="730">
        <v>0.861800000000016</v>
      </c>
      <c r="AJ1386" s="731">
        <v>79.650000000000006</v>
      </c>
    </row>
    <row r="1387" spans="35:36" ht="15" x14ac:dyDescent="0.2">
      <c r="AI1387" s="730">
        <v>0.86170000000001601</v>
      </c>
      <c r="AJ1387" s="731">
        <v>79.680000000000007</v>
      </c>
    </row>
    <row r="1388" spans="35:36" ht="15" x14ac:dyDescent="0.2">
      <c r="AI1388" s="730">
        <v>0.86160000000001602</v>
      </c>
      <c r="AJ1388" s="731">
        <v>79.72</v>
      </c>
    </row>
    <row r="1389" spans="35:36" ht="15" x14ac:dyDescent="0.2">
      <c r="AI1389" s="730">
        <v>0.86150000000001603</v>
      </c>
      <c r="AJ1389" s="731">
        <v>79.760000000000005</v>
      </c>
    </row>
    <row r="1390" spans="35:36" ht="15" x14ac:dyDescent="0.2">
      <c r="AI1390" s="730">
        <v>0.86140000000001604</v>
      </c>
      <c r="AJ1390" s="731">
        <v>79.790000000000006</v>
      </c>
    </row>
    <row r="1391" spans="35:36" ht="15" x14ac:dyDescent="0.2">
      <c r="AI1391" s="730">
        <v>0.86130000000001605</v>
      </c>
      <c r="AJ1391" s="731">
        <v>79.83</v>
      </c>
    </row>
    <row r="1392" spans="35:36" ht="15" x14ac:dyDescent="0.2">
      <c r="AI1392" s="730">
        <v>0.86120000000001595</v>
      </c>
      <c r="AJ1392" s="731">
        <v>79.86</v>
      </c>
    </row>
    <row r="1393" spans="35:36" ht="15" x14ac:dyDescent="0.2">
      <c r="AI1393" s="730">
        <v>0.86110000000001596</v>
      </c>
      <c r="AJ1393" s="731">
        <v>79.900000000000006</v>
      </c>
    </row>
    <row r="1394" spans="35:36" ht="15" x14ac:dyDescent="0.2">
      <c r="AI1394" s="730">
        <v>0.86100000000001597</v>
      </c>
      <c r="AJ1394" s="731">
        <v>79.94</v>
      </c>
    </row>
    <row r="1395" spans="35:36" ht="15" x14ac:dyDescent="0.2">
      <c r="AI1395" s="730">
        <v>0.86090000000001599</v>
      </c>
      <c r="AJ1395" s="731">
        <v>79.97</v>
      </c>
    </row>
    <row r="1396" spans="35:36" ht="15" x14ac:dyDescent="0.2">
      <c r="AI1396" s="730">
        <v>0.860800000000016</v>
      </c>
      <c r="AJ1396" s="731">
        <v>80.010000000000005</v>
      </c>
    </row>
    <row r="1397" spans="35:36" ht="15" x14ac:dyDescent="0.2">
      <c r="AI1397" s="730">
        <v>0.86070000000001601</v>
      </c>
      <c r="AJ1397" s="731">
        <v>80.040000000000006</v>
      </c>
    </row>
    <row r="1398" spans="35:36" ht="15" x14ac:dyDescent="0.2">
      <c r="AI1398" s="730">
        <v>0.86060000000001602</v>
      </c>
      <c r="AJ1398" s="731">
        <v>80.08</v>
      </c>
    </row>
    <row r="1399" spans="35:36" ht="15" x14ac:dyDescent="0.2">
      <c r="AI1399" s="730">
        <v>0.86050000000001603</v>
      </c>
      <c r="AJ1399" s="731">
        <v>80.12</v>
      </c>
    </row>
    <row r="1400" spans="35:36" ht="15" x14ac:dyDescent="0.2">
      <c r="AI1400" s="730">
        <v>0.86040000000001604</v>
      </c>
      <c r="AJ1400" s="731">
        <v>80.150000000000006</v>
      </c>
    </row>
    <row r="1401" spans="35:36" ht="15" x14ac:dyDescent="0.2">
      <c r="AI1401" s="730">
        <v>0.86030000000001605</v>
      </c>
      <c r="AJ1401" s="731">
        <v>80.19</v>
      </c>
    </row>
    <row r="1402" spans="35:36" ht="15" x14ac:dyDescent="0.2">
      <c r="AI1402" s="730">
        <v>0.86020000000001595</v>
      </c>
      <c r="AJ1402" s="731">
        <v>80.22</v>
      </c>
    </row>
    <row r="1403" spans="35:36" ht="15" x14ac:dyDescent="0.2">
      <c r="AI1403" s="730">
        <v>0.86010000000001596</v>
      </c>
      <c r="AJ1403" s="731">
        <v>80.260000000000005</v>
      </c>
    </row>
    <row r="1404" spans="35:36" ht="15" x14ac:dyDescent="0.2">
      <c r="AI1404" s="730">
        <v>0.86000000000001597</v>
      </c>
      <c r="AJ1404" s="731">
        <v>80.290000000000006</v>
      </c>
    </row>
    <row r="1405" spans="35:36" ht="15" x14ac:dyDescent="0.2">
      <c r="AI1405" s="730">
        <v>0.85990000000001598</v>
      </c>
      <c r="AJ1405" s="731">
        <v>80.33</v>
      </c>
    </row>
    <row r="1406" spans="35:36" ht="15" x14ac:dyDescent="0.2">
      <c r="AI1406" s="730">
        <v>0.859800000000016</v>
      </c>
      <c r="AJ1406" s="731">
        <v>80.36</v>
      </c>
    </row>
    <row r="1407" spans="35:36" ht="15" x14ac:dyDescent="0.2">
      <c r="AI1407" s="730">
        <v>0.85970000000001601</v>
      </c>
      <c r="AJ1407" s="731">
        <v>80.400000000000006</v>
      </c>
    </row>
    <row r="1408" spans="35:36" ht="15" x14ac:dyDescent="0.2">
      <c r="AI1408" s="730">
        <v>0.85960000000001602</v>
      </c>
      <c r="AJ1408" s="731">
        <v>80.44</v>
      </c>
    </row>
    <row r="1409" spans="35:36" ht="15" x14ac:dyDescent="0.2">
      <c r="AI1409" s="730">
        <v>0.85950000000001603</v>
      </c>
      <c r="AJ1409" s="731">
        <v>80.47</v>
      </c>
    </row>
    <row r="1410" spans="35:36" ht="15" x14ac:dyDescent="0.2">
      <c r="AI1410" s="730">
        <v>0.85940000000001604</v>
      </c>
      <c r="AJ1410" s="731">
        <v>80.510000000000005</v>
      </c>
    </row>
    <row r="1411" spans="35:36" ht="15" x14ac:dyDescent="0.2">
      <c r="AI1411" s="730">
        <v>0.85930000000001605</v>
      </c>
      <c r="AJ1411" s="731">
        <v>80.540000000000006</v>
      </c>
    </row>
    <row r="1412" spans="35:36" ht="15" x14ac:dyDescent="0.2">
      <c r="AI1412" s="730">
        <v>0.85920000000001595</v>
      </c>
      <c r="AJ1412" s="731">
        <v>80.58</v>
      </c>
    </row>
    <row r="1413" spans="35:36" ht="15" x14ac:dyDescent="0.2">
      <c r="AI1413" s="730">
        <v>0.85910000000001596</v>
      </c>
      <c r="AJ1413" s="731">
        <v>80.61</v>
      </c>
    </row>
    <row r="1414" spans="35:36" ht="15" x14ac:dyDescent="0.2">
      <c r="AI1414" s="730">
        <v>0.85900000000001597</v>
      </c>
      <c r="AJ1414" s="731">
        <v>80.650000000000006</v>
      </c>
    </row>
    <row r="1415" spans="35:36" ht="15" x14ac:dyDescent="0.2">
      <c r="AI1415" s="730">
        <v>0.85890000000001598</v>
      </c>
      <c r="AJ1415" s="731">
        <v>80.680000000000007</v>
      </c>
    </row>
    <row r="1416" spans="35:36" ht="15" x14ac:dyDescent="0.2">
      <c r="AI1416" s="730">
        <v>0.858800000000016</v>
      </c>
      <c r="AJ1416" s="731">
        <v>80.72</v>
      </c>
    </row>
    <row r="1417" spans="35:36" ht="15" x14ac:dyDescent="0.2">
      <c r="AI1417" s="730">
        <v>0.85870000000001601</v>
      </c>
      <c r="AJ1417" s="731">
        <v>80.760000000000005</v>
      </c>
    </row>
    <row r="1418" spans="35:36" ht="15" x14ac:dyDescent="0.2">
      <c r="AI1418" s="730">
        <v>0.85860000000001602</v>
      </c>
      <c r="AJ1418" s="731">
        <v>80.790000000000006</v>
      </c>
    </row>
    <row r="1419" spans="35:36" ht="15" x14ac:dyDescent="0.2">
      <c r="AI1419" s="730">
        <v>0.85850000000001603</v>
      </c>
      <c r="AJ1419" s="731">
        <v>80.83</v>
      </c>
    </row>
    <row r="1420" spans="35:36" ht="15" x14ac:dyDescent="0.2">
      <c r="AI1420" s="730">
        <v>0.85840000000001604</v>
      </c>
      <c r="AJ1420" s="731">
        <v>80.86</v>
      </c>
    </row>
    <row r="1421" spans="35:36" ht="15" x14ac:dyDescent="0.2">
      <c r="AI1421" s="730">
        <v>0.85830000000001605</v>
      </c>
      <c r="AJ1421" s="731">
        <v>80.900000000000006</v>
      </c>
    </row>
    <row r="1422" spans="35:36" ht="15" x14ac:dyDescent="0.2">
      <c r="AI1422" s="730">
        <v>0.85820000000001595</v>
      </c>
      <c r="AJ1422" s="731">
        <v>80.930000000000007</v>
      </c>
    </row>
    <row r="1423" spans="35:36" ht="15" x14ac:dyDescent="0.2">
      <c r="AI1423" s="730">
        <v>0.85810000000001596</v>
      </c>
      <c r="AJ1423" s="731">
        <v>80.97</v>
      </c>
    </row>
    <row r="1424" spans="35:36" ht="15" x14ac:dyDescent="0.2">
      <c r="AI1424" s="730">
        <v>0.85800000000001597</v>
      </c>
      <c r="AJ1424" s="731">
        <v>81</v>
      </c>
    </row>
    <row r="1425" spans="35:36" ht="15" x14ac:dyDescent="0.2">
      <c r="AI1425" s="730">
        <v>0.85790000000001598</v>
      </c>
      <c r="AJ1425" s="731">
        <v>81.040000000000006</v>
      </c>
    </row>
    <row r="1426" spans="35:36" ht="15" x14ac:dyDescent="0.2">
      <c r="AI1426" s="730">
        <v>0.85780000000001599</v>
      </c>
      <c r="AJ1426" s="731">
        <v>81.069999999999993</v>
      </c>
    </row>
    <row r="1427" spans="35:36" ht="15" x14ac:dyDescent="0.2">
      <c r="AI1427" s="730">
        <v>0.85770000000001601</v>
      </c>
      <c r="AJ1427" s="731">
        <v>81.11</v>
      </c>
    </row>
    <row r="1428" spans="35:36" ht="15" x14ac:dyDescent="0.2">
      <c r="AI1428" s="730">
        <v>0.85760000000001602</v>
      </c>
      <c r="AJ1428" s="731">
        <v>81.14</v>
      </c>
    </row>
    <row r="1429" spans="35:36" ht="15" x14ac:dyDescent="0.2">
      <c r="AI1429" s="730">
        <v>0.85750000000001603</v>
      </c>
      <c r="AJ1429" s="731">
        <v>81.180000000000007</v>
      </c>
    </row>
    <row r="1430" spans="35:36" ht="15" x14ac:dyDescent="0.2">
      <c r="AI1430" s="730">
        <v>0.85740000000001604</v>
      </c>
      <c r="AJ1430" s="731">
        <v>81.209999999999994</v>
      </c>
    </row>
    <row r="1431" spans="35:36" ht="15" x14ac:dyDescent="0.2">
      <c r="AI1431" s="730">
        <v>0.85730000000001605</v>
      </c>
      <c r="AJ1431" s="731">
        <v>81.25</v>
      </c>
    </row>
    <row r="1432" spans="35:36" ht="15" x14ac:dyDescent="0.2">
      <c r="AI1432" s="730">
        <v>0.85720000000001595</v>
      </c>
      <c r="AJ1432" s="731">
        <v>81.28</v>
      </c>
    </row>
    <row r="1433" spans="35:36" ht="15" x14ac:dyDescent="0.2">
      <c r="AI1433" s="730">
        <v>0.85710000000001596</v>
      </c>
      <c r="AJ1433" s="731">
        <v>81.319999999999993</v>
      </c>
    </row>
    <row r="1434" spans="35:36" ht="15" x14ac:dyDescent="0.2">
      <c r="AI1434" s="730">
        <v>0.85700000000001597</v>
      </c>
      <c r="AJ1434" s="731">
        <v>81.349999999999994</v>
      </c>
    </row>
    <row r="1435" spans="35:36" ht="15" x14ac:dyDescent="0.2">
      <c r="AI1435" s="730">
        <v>0.85690000000001598</v>
      </c>
      <c r="AJ1435" s="731">
        <v>81.39</v>
      </c>
    </row>
    <row r="1436" spans="35:36" ht="15" x14ac:dyDescent="0.2">
      <c r="AI1436" s="730">
        <v>0.85680000000001599</v>
      </c>
      <c r="AJ1436" s="731">
        <v>81.430000000000007</v>
      </c>
    </row>
    <row r="1437" spans="35:36" ht="15" x14ac:dyDescent="0.2">
      <c r="AI1437" s="730">
        <v>0.856700000000016</v>
      </c>
      <c r="AJ1437" s="731">
        <v>81.459999999999994</v>
      </c>
    </row>
    <row r="1438" spans="35:36" ht="15" x14ac:dyDescent="0.2">
      <c r="AI1438" s="730">
        <v>0.85660000000001602</v>
      </c>
      <c r="AJ1438" s="731">
        <v>81.5</v>
      </c>
    </row>
    <row r="1439" spans="35:36" ht="15" x14ac:dyDescent="0.2">
      <c r="AI1439" s="730">
        <v>0.85650000000001603</v>
      </c>
      <c r="AJ1439" s="731">
        <v>81.53</v>
      </c>
    </row>
    <row r="1440" spans="35:36" ht="15" x14ac:dyDescent="0.2">
      <c r="AI1440" s="730">
        <v>0.85640000000001604</v>
      </c>
      <c r="AJ1440" s="731">
        <v>81.569999999999993</v>
      </c>
    </row>
    <row r="1441" spans="35:36" ht="15" x14ac:dyDescent="0.2">
      <c r="AI1441" s="730">
        <v>0.85630000000001605</v>
      </c>
      <c r="AJ1441" s="731">
        <v>81.599999999999994</v>
      </c>
    </row>
    <row r="1442" spans="35:36" ht="15" x14ac:dyDescent="0.2">
      <c r="AI1442" s="730">
        <v>0.85620000000001595</v>
      </c>
      <c r="AJ1442" s="731">
        <v>81.64</v>
      </c>
    </row>
    <row r="1443" spans="35:36" ht="15" x14ac:dyDescent="0.2">
      <c r="AI1443" s="730">
        <v>0.85610000000001596</v>
      </c>
      <c r="AJ1443" s="731">
        <v>81.67</v>
      </c>
    </row>
    <row r="1444" spans="35:36" ht="15" x14ac:dyDescent="0.2">
      <c r="AI1444" s="730">
        <v>0.85600000000001597</v>
      </c>
      <c r="AJ1444" s="731">
        <v>81.709999999999994</v>
      </c>
    </row>
    <row r="1445" spans="35:36" ht="15" x14ac:dyDescent="0.2">
      <c r="AI1445" s="730">
        <v>0.85590000000001598</v>
      </c>
      <c r="AJ1445" s="731">
        <v>81.739999999999995</v>
      </c>
    </row>
    <row r="1446" spans="35:36" ht="15" x14ac:dyDescent="0.2">
      <c r="AI1446" s="730">
        <v>0.85580000000001599</v>
      </c>
      <c r="AJ1446" s="731">
        <v>81.78</v>
      </c>
    </row>
    <row r="1447" spans="35:36" ht="15" x14ac:dyDescent="0.2">
      <c r="AI1447" s="730">
        <v>0.855700000000016</v>
      </c>
      <c r="AJ1447" s="731">
        <v>81.81</v>
      </c>
    </row>
    <row r="1448" spans="35:36" ht="15" x14ac:dyDescent="0.2">
      <c r="AI1448" s="730">
        <v>0.85560000000001601</v>
      </c>
      <c r="AJ1448" s="731">
        <v>81.849999999999994</v>
      </c>
    </row>
    <row r="1449" spans="35:36" ht="15" x14ac:dyDescent="0.2">
      <c r="AI1449" s="730">
        <v>0.85550000000001603</v>
      </c>
      <c r="AJ1449" s="731">
        <v>81.88</v>
      </c>
    </row>
    <row r="1450" spans="35:36" ht="15" x14ac:dyDescent="0.2">
      <c r="AI1450" s="730">
        <v>0.85540000000001604</v>
      </c>
      <c r="AJ1450" s="731">
        <v>81.92</v>
      </c>
    </row>
    <row r="1451" spans="35:36" ht="15" x14ac:dyDescent="0.2">
      <c r="AI1451" s="730">
        <v>0.85530000000001605</v>
      </c>
      <c r="AJ1451" s="731">
        <v>81.95</v>
      </c>
    </row>
    <row r="1452" spans="35:36" ht="15" x14ac:dyDescent="0.2">
      <c r="AI1452" s="730">
        <v>0.85520000000001595</v>
      </c>
      <c r="AJ1452" s="731">
        <v>81.99</v>
      </c>
    </row>
    <row r="1453" spans="35:36" ht="15" x14ac:dyDescent="0.2">
      <c r="AI1453" s="730">
        <v>0.85510000000001596</v>
      </c>
      <c r="AJ1453" s="731">
        <v>82.02</v>
      </c>
    </row>
    <row r="1454" spans="35:36" ht="15" x14ac:dyDescent="0.2">
      <c r="AI1454" s="730">
        <v>0.85500000000001597</v>
      </c>
      <c r="AJ1454" s="731">
        <v>82.06</v>
      </c>
    </row>
    <row r="1455" spans="35:36" ht="15" x14ac:dyDescent="0.2">
      <c r="AI1455" s="730">
        <v>0.85490000000001598</v>
      </c>
      <c r="AJ1455" s="731">
        <v>82.09</v>
      </c>
    </row>
    <row r="1456" spans="35:36" ht="15" x14ac:dyDescent="0.2">
      <c r="AI1456" s="730">
        <v>0.85480000000001599</v>
      </c>
      <c r="AJ1456" s="731">
        <v>82.13</v>
      </c>
    </row>
    <row r="1457" spans="35:36" ht="15" x14ac:dyDescent="0.2">
      <c r="AI1457" s="730">
        <v>0.854700000000016</v>
      </c>
      <c r="AJ1457" s="731">
        <v>82.16</v>
      </c>
    </row>
    <row r="1458" spans="35:36" ht="15" x14ac:dyDescent="0.2">
      <c r="AI1458" s="730">
        <v>0.85460000000001601</v>
      </c>
      <c r="AJ1458" s="731">
        <v>82.2</v>
      </c>
    </row>
    <row r="1459" spans="35:36" ht="15" x14ac:dyDescent="0.2">
      <c r="AI1459" s="730">
        <v>0.85450000000001602</v>
      </c>
      <c r="AJ1459" s="731">
        <v>82.23</v>
      </c>
    </row>
    <row r="1460" spans="35:36" ht="15" x14ac:dyDescent="0.2">
      <c r="AI1460" s="730">
        <v>0.85440000000001604</v>
      </c>
      <c r="AJ1460" s="731">
        <v>82.27</v>
      </c>
    </row>
    <row r="1461" spans="35:36" ht="15" x14ac:dyDescent="0.2">
      <c r="AI1461" s="730">
        <v>0.85430000000001605</v>
      </c>
      <c r="AJ1461" s="731">
        <v>82.3</v>
      </c>
    </row>
    <row r="1462" spans="35:36" ht="15" x14ac:dyDescent="0.2">
      <c r="AI1462" s="730">
        <v>0.85420000000001595</v>
      </c>
      <c r="AJ1462" s="731">
        <v>82.34</v>
      </c>
    </row>
    <row r="1463" spans="35:36" ht="15" x14ac:dyDescent="0.2">
      <c r="AI1463" s="730">
        <v>0.85410000000001596</v>
      </c>
      <c r="AJ1463" s="731">
        <v>82.37</v>
      </c>
    </row>
    <row r="1464" spans="35:36" ht="15" x14ac:dyDescent="0.2">
      <c r="AI1464" s="730">
        <v>0.85400000000001597</v>
      </c>
      <c r="AJ1464" s="731">
        <v>82.41</v>
      </c>
    </row>
    <row r="1465" spans="35:36" ht="15" x14ac:dyDescent="0.2">
      <c r="AI1465" s="730">
        <v>0.85390000000001598</v>
      </c>
      <c r="AJ1465" s="731">
        <v>82.44</v>
      </c>
    </row>
    <row r="1466" spans="35:36" ht="15" x14ac:dyDescent="0.2">
      <c r="AI1466" s="730">
        <v>0.85380000000001599</v>
      </c>
      <c r="AJ1466" s="731">
        <v>82.48</v>
      </c>
    </row>
    <row r="1467" spans="35:36" ht="15" x14ac:dyDescent="0.2">
      <c r="AI1467" s="730">
        <v>0.853700000000016</v>
      </c>
      <c r="AJ1467" s="731">
        <v>82.51</v>
      </c>
    </row>
    <row r="1468" spans="35:36" ht="15" x14ac:dyDescent="0.2">
      <c r="AI1468" s="730">
        <v>0.85360000000001601</v>
      </c>
      <c r="AJ1468" s="731">
        <v>82.54</v>
      </c>
    </row>
    <row r="1469" spans="35:36" ht="15" x14ac:dyDescent="0.2">
      <c r="AI1469" s="730">
        <v>0.85350000000001602</v>
      </c>
      <c r="AJ1469" s="731">
        <v>82.58</v>
      </c>
    </row>
    <row r="1470" spans="35:36" ht="15" x14ac:dyDescent="0.2">
      <c r="AI1470" s="730">
        <v>0.85340000000001603</v>
      </c>
      <c r="AJ1470" s="731">
        <v>82.61</v>
      </c>
    </row>
    <row r="1471" spans="35:36" ht="15" x14ac:dyDescent="0.2">
      <c r="AI1471" s="730">
        <v>0.85330000000001605</v>
      </c>
      <c r="AJ1471" s="731">
        <v>82.65</v>
      </c>
    </row>
    <row r="1472" spans="35:36" ht="15" x14ac:dyDescent="0.2">
      <c r="AI1472" s="730">
        <v>0.85320000000001694</v>
      </c>
      <c r="AJ1472" s="731">
        <v>82.68</v>
      </c>
    </row>
    <row r="1473" spans="35:36" ht="15" x14ac:dyDescent="0.2">
      <c r="AI1473" s="730">
        <v>0.85310000000001696</v>
      </c>
      <c r="AJ1473" s="731">
        <v>82.72</v>
      </c>
    </row>
    <row r="1474" spans="35:36" ht="15" x14ac:dyDescent="0.2">
      <c r="AI1474" s="730">
        <v>0.85300000000001697</v>
      </c>
      <c r="AJ1474" s="731">
        <v>82.75</v>
      </c>
    </row>
    <row r="1475" spans="35:36" ht="15" x14ac:dyDescent="0.2">
      <c r="AI1475" s="730">
        <v>0.85290000000001698</v>
      </c>
      <c r="AJ1475" s="731">
        <v>82.79</v>
      </c>
    </row>
    <row r="1476" spans="35:36" ht="15" x14ac:dyDescent="0.2">
      <c r="AI1476" s="730">
        <v>0.85280000000001699</v>
      </c>
      <c r="AJ1476" s="731">
        <v>82.82</v>
      </c>
    </row>
    <row r="1477" spans="35:36" ht="15" x14ac:dyDescent="0.2">
      <c r="AI1477" s="730">
        <v>0.852700000000017</v>
      </c>
      <c r="AJ1477" s="731">
        <v>82.86</v>
      </c>
    </row>
    <row r="1478" spans="35:36" ht="15" x14ac:dyDescent="0.2">
      <c r="AI1478" s="730">
        <v>0.85260000000001701</v>
      </c>
      <c r="AJ1478" s="731">
        <v>82.89</v>
      </c>
    </row>
    <row r="1479" spans="35:36" ht="15" x14ac:dyDescent="0.2">
      <c r="AI1479" s="730">
        <v>0.85250000000001702</v>
      </c>
      <c r="AJ1479" s="731">
        <v>82.92</v>
      </c>
    </row>
    <row r="1480" spans="35:36" ht="15" x14ac:dyDescent="0.2">
      <c r="AI1480" s="730">
        <v>0.85240000000001703</v>
      </c>
      <c r="AJ1480" s="731">
        <v>82.96</v>
      </c>
    </row>
    <row r="1481" spans="35:36" ht="15" x14ac:dyDescent="0.2">
      <c r="AI1481" s="730">
        <v>0.85230000000001704</v>
      </c>
      <c r="AJ1481" s="731">
        <v>82.99</v>
      </c>
    </row>
    <row r="1482" spans="35:36" ht="15" x14ac:dyDescent="0.2">
      <c r="AI1482" s="730">
        <v>0.85220000000001705</v>
      </c>
      <c r="AJ1482" s="731">
        <v>83.03</v>
      </c>
    </row>
    <row r="1483" spans="35:36" ht="15" x14ac:dyDescent="0.2">
      <c r="AI1483" s="730">
        <v>0.85210000000001695</v>
      </c>
      <c r="AJ1483" s="731">
        <v>83.06</v>
      </c>
    </row>
    <row r="1484" spans="35:36" ht="15" x14ac:dyDescent="0.2">
      <c r="AI1484" s="730">
        <v>0.85200000000001697</v>
      </c>
      <c r="AJ1484" s="731">
        <v>83.1</v>
      </c>
    </row>
    <row r="1485" spans="35:36" ht="15" x14ac:dyDescent="0.2">
      <c r="AI1485" s="730">
        <v>0.85190000000001698</v>
      </c>
      <c r="AJ1485" s="731">
        <v>83.13</v>
      </c>
    </row>
    <row r="1486" spans="35:36" ht="15" x14ac:dyDescent="0.2">
      <c r="AI1486" s="730">
        <v>0.85180000000001699</v>
      </c>
      <c r="AJ1486" s="731">
        <v>83.17</v>
      </c>
    </row>
    <row r="1487" spans="35:36" ht="15" x14ac:dyDescent="0.2">
      <c r="AI1487" s="730">
        <v>0.851700000000017</v>
      </c>
      <c r="AJ1487" s="731">
        <v>83.2</v>
      </c>
    </row>
    <row r="1488" spans="35:36" ht="15" x14ac:dyDescent="0.2">
      <c r="AI1488" s="730">
        <v>0.85160000000001701</v>
      </c>
      <c r="AJ1488" s="731">
        <v>83.23</v>
      </c>
    </row>
    <row r="1489" spans="35:36" ht="15" x14ac:dyDescent="0.2">
      <c r="AI1489" s="730">
        <v>0.85150000000001702</v>
      </c>
      <c r="AJ1489" s="731">
        <v>83.27</v>
      </c>
    </row>
    <row r="1490" spans="35:36" ht="15" x14ac:dyDescent="0.2">
      <c r="AI1490" s="730">
        <v>0.85140000000001703</v>
      </c>
      <c r="AJ1490" s="731">
        <v>83.3</v>
      </c>
    </row>
    <row r="1491" spans="35:36" ht="15" x14ac:dyDescent="0.2">
      <c r="AI1491" s="730">
        <v>0.85130000000001704</v>
      </c>
      <c r="AJ1491" s="731">
        <v>83.34</v>
      </c>
    </row>
    <row r="1492" spans="35:36" ht="15" x14ac:dyDescent="0.2">
      <c r="AI1492" s="730">
        <v>0.85120000000001705</v>
      </c>
      <c r="AJ1492" s="731">
        <v>83.37</v>
      </c>
    </row>
    <row r="1493" spans="35:36" ht="15" x14ac:dyDescent="0.2">
      <c r="AI1493" s="730">
        <v>0.85110000000001695</v>
      </c>
      <c r="AJ1493" s="731">
        <v>83.41</v>
      </c>
    </row>
    <row r="1494" spans="35:36" ht="15" x14ac:dyDescent="0.2">
      <c r="AI1494" s="730">
        <v>0.85100000000001697</v>
      </c>
      <c r="AJ1494" s="731">
        <v>83.44</v>
      </c>
    </row>
    <row r="1495" spans="35:36" ht="15" x14ac:dyDescent="0.2">
      <c r="AI1495" s="730">
        <v>0.85090000000001698</v>
      </c>
      <c r="AJ1495" s="731">
        <v>83.47</v>
      </c>
    </row>
    <row r="1496" spans="35:36" ht="15" x14ac:dyDescent="0.2">
      <c r="AI1496" s="730">
        <v>0.85080000000001699</v>
      </c>
      <c r="AJ1496" s="731">
        <v>83.51</v>
      </c>
    </row>
    <row r="1497" spans="35:36" ht="15" x14ac:dyDescent="0.2">
      <c r="AI1497" s="730">
        <v>0.850700000000017</v>
      </c>
      <c r="AJ1497" s="731">
        <v>83.54</v>
      </c>
    </row>
    <row r="1498" spans="35:36" ht="15" x14ac:dyDescent="0.2">
      <c r="AI1498" s="730">
        <v>0.85060000000001701</v>
      </c>
      <c r="AJ1498" s="731">
        <v>83.58</v>
      </c>
    </row>
    <row r="1499" spans="35:36" ht="15" x14ac:dyDescent="0.2">
      <c r="AI1499" s="730">
        <v>0.85050000000001702</v>
      </c>
      <c r="AJ1499" s="731">
        <v>83.61</v>
      </c>
    </row>
    <row r="1500" spans="35:36" ht="15" x14ac:dyDescent="0.2">
      <c r="AI1500" s="730">
        <v>0.85040000000001703</v>
      </c>
      <c r="AJ1500" s="731">
        <v>83.65</v>
      </c>
    </row>
    <row r="1501" spans="35:36" ht="15" x14ac:dyDescent="0.2">
      <c r="AI1501" s="730">
        <v>0.85030000000001704</v>
      </c>
      <c r="AJ1501" s="731">
        <v>83.68</v>
      </c>
    </row>
    <row r="1502" spans="35:36" ht="15" x14ac:dyDescent="0.2">
      <c r="AI1502" s="730">
        <v>0.85020000000001705</v>
      </c>
      <c r="AJ1502" s="731">
        <v>83.71</v>
      </c>
    </row>
    <row r="1503" spans="35:36" ht="15" x14ac:dyDescent="0.2">
      <c r="AI1503" s="730">
        <v>0.85010000000001695</v>
      </c>
      <c r="AJ1503" s="731">
        <v>83.75</v>
      </c>
    </row>
    <row r="1504" spans="35:36" ht="15" x14ac:dyDescent="0.2">
      <c r="AI1504" s="730">
        <v>0.85000000000001696</v>
      </c>
      <c r="AJ1504" s="731">
        <v>83.78</v>
      </c>
    </row>
    <row r="1505" spans="35:36" ht="15" x14ac:dyDescent="0.2">
      <c r="AI1505" s="730">
        <v>0.84990000000001698</v>
      </c>
      <c r="AJ1505" s="731">
        <v>83.82</v>
      </c>
    </row>
    <row r="1506" spans="35:36" ht="15" x14ac:dyDescent="0.2">
      <c r="AI1506" s="730">
        <v>0.84980000000001699</v>
      </c>
      <c r="AJ1506" s="731">
        <v>83.85</v>
      </c>
    </row>
    <row r="1507" spans="35:36" ht="15" x14ac:dyDescent="0.2">
      <c r="AI1507" s="730">
        <v>0.849700000000017</v>
      </c>
      <c r="AJ1507" s="731">
        <v>83.88</v>
      </c>
    </row>
    <row r="1508" spans="35:36" ht="15" x14ac:dyDescent="0.2">
      <c r="AI1508" s="730">
        <v>0.84960000000001701</v>
      </c>
      <c r="AJ1508" s="731">
        <v>83.92</v>
      </c>
    </row>
    <row r="1509" spans="35:36" ht="15" x14ac:dyDescent="0.2">
      <c r="AI1509" s="730">
        <v>0.84950000000001702</v>
      </c>
      <c r="AJ1509" s="731">
        <v>83.95</v>
      </c>
    </row>
    <row r="1510" spans="35:36" ht="15" x14ac:dyDescent="0.2">
      <c r="AI1510" s="730">
        <v>0.84940000000001703</v>
      </c>
      <c r="AJ1510" s="731">
        <v>83.99</v>
      </c>
    </row>
    <row r="1511" spans="35:36" ht="15" x14ac:dyDescent="0.2">
      <c r="AI1511" s="730">
        <v>0.84930000000001704</v>
      </c>
      <c r="AJ1511" s="731">
        <v>84.02</v>
      </c>
    </row>
    <row r="1512" spans="35:36" ht="15" x14ac:dyDescent="0.2">
      <c r="AI1512" s="730">
        <v>0.84920000000001705</v>
      </c>
      <c r="AJ1512" s="731">
        <v>84.05</v>
      </c>
    </row>
    <row r="1513" spans="35:36" ht="15" x14ac:dyDescent="0.2">
      <c r="AI1513" s="730">
        <v>0.84910000000001695</v>
      </c>
      <c r="AJ1513" s="731">
        <v>84.09</v>
      </c>
    </row>
    <row r="1514" spans="35:36" ht="15" x14ac:dyDescent="0.2">
      <c r="AI1514" s="730">
        <v>0.84900000000001696</v>
      </c>
      <c r="AJ1514" s="731">
        <v>84.12</v>
      </c>
    </row>
    <row r="1515" spans="35:36" ht="15" x14ac:dyDescent="0.2">
      <c r="AI1515" s="730">
        <v>0.84890000000001697</v>
      </c>
      <c r="AJ1515" s="731">
        <v>84.15</v>
      </c>
    </row>
    <row r="1516" spans="35:36" ht="15" x14ac:dyDescent="0.2">
      <c r="AI1516" s="730">
        <v>0.84880000000001699</v>
      </c>
      <c r="AJ1516" s="731">
        <v>84.19</v>
      </c>
    </row>
    <row r="1517" spans="35:36" ht="15" x14ac:dyDescent="0.2">
      <c r="AI1517" s="730">
        <v>0.848700000000017</v>
      </c>
      <c r="AJ1517" s="731">
        <v>84.22</v>
      </c>
    </row>
    <row r="1518" spans="35:36" ht="15" x14ac:dyDescent="0.2">
      <c r="AI1518" s="730">
        <v>0.84860000000001701</v>
      </c>
      <c r="AJ1518" s="731">
        <v>84.26</v>
      </c>
    </row>
    <row r="1519" spans="35:36" ht="15" x14ac:dyDescent="0.2">
      <c r="AI1519" s="730">
        <v>0.84850000000001702</v>
      </c>
      <c r="AJ1519" s="731">
        <v>84.29</v>
      </c>
    </row>
    <row r="1520" spans="35:36" ht="15" x14ac:dyDescent="0.2">
      <c r="AI1520" s="730">
        <v>0.84840000000001703</v>
      </c>
      <c r="AJ1520" s="731">
        <v>84.32</v>
      </c>
    </row>
    <row r="1521" spans="35:36" ht="15" x14ac:dyDescent="0.2">
      <c r="AI1521" s="730">
        <v>0.84830000000001704</v>
      </c>
      <c r="AJ1521" s="731">
        <v>84.36</v>
      </c>
    </row>
    <row r="1522" spans="35:36" ht="15" x14ac:dyDescent="0.2">
      <c r="AI1522" s="730">
        <v>0.84820000000001705</v>
      </c>
      <c r="AJ1522" s="731">
        <v>84.39</v>
      </c>
    </row>
    <row r="1523" spans="35:36" ht="15" x14ac:dyDescent="0.2">
      <c r="AI1523" s="730">
        <v>0.84810000000001695</v>
      </c>
      <c r="AJ1523" s="731">
        <v>84.42</v>
      </c>
    </row>
    <row r="1524" spans="35:36" ht="15" x14ac:dyDescent="0.2">
      <c r="AI1524" s="730">
        <v>0.84800000000001696</v>
      </c>
      <c r="AJ1524" s="731">
        <v>84.46</v>
      </c>
    </row>
    <row r="1525" spans="35:36" ht="15" x14ac:dyDescent="0.2">
      <c r="AI1525" s="730">
        <v>0.84790000000001697</v>
      </c>
      <c r="AJ1525" s="731">
        <v>84.49</v>
      </c>
    </row>
    <row r="1526" spans="35:36" ht="15" x14ac:dyDescent="0.2">
      <c r="AI1526" s="730">
        <v>0.84780000000001698</v>
      </c>
      <c r="AJ1526" s="731">
        <v>84.53</v>
      </c>
    </row>
    <row r="1527" spans="35:36" ht="15" x14ac:dyDescent="0.2">
      <c r="AI1527" s="730">
        <v>0.847700000000017</v>
      </c>
      <c r="AJ1527" s="731">
        <v>84.56</v>
      </c>
    </row>
    <row r="1528" spans="35:36" ht="15" x14ac:dyDescent="0.2">
      <c r="AI1528" s="730">
        <v>0.84760000000001701</v>
      </c>
      <c r="AJ1528" s="731">
        <v>84.59</v>
      </c>
    </row>
    <row r="1529" spans="35:36" ht="15" x14ac:dyDescent="0.2">
      <c r="AI1529" s="730">
        <v>0.84750000000001702</v>
      </c>
      <c r="AJ1529" s="731">
        <v>84.63</v>
      </c>
    </row>
    <row r="1530" spans="35:36" ht="15" x14ac:dyDescent="0.2">
      <c r="AI1530" s="730">
        <v>0.84740000000001703</v>
      </c>
      <c r="AJ1530" s="731">
        <v>84.66</v>
      </c>
    </row>
    <row r="1531" spans="35:36" ht="15" x14ac:dyDescent="0.2">
      <c r="AI1531" s="730">
        <v>0.84730000000001704</v>
      </c>
      <c r="AJ1531" s="731">
        <v>84.69</v>
      </c>
    </row>
    <row r="1532" spans="35:36" ht="15" x14ac:dyDescent="0.2">
      <c r="AI1532" s="730">
        <v>0.84720000000001705</v>
      </c>
      <c r="AJ1532" s="731">
        <v>84.73</v>
      </c>
    </row>
    <row r="1533" spans="35:36" ht="15" x14ac:dyDescent="0.2">
      <c r="AI1533" s="730">
        <v>0.84710000000001695</v>
      </c>
      <c r="AJ1533" s="731">
        <v>84.76</v>
      </c>
    </row>
    <row r="1534" spans="35:36" ht="15" x14ac:dyDescent="0.2">
      <c r="AI1534" s="730">
        <v>0.84700000000001696</v>
      </c>
      <c r="AJ1534" s="731">
        <v>84.79</v>
      </c>
    </row>
    <row r="1535" spans="35:36" ht="15" x14ac:dyDescent="0.2">
      <c r="AI1535" s="730">
        <v>0.84690000000001697</v>
      </c>
      <c r="AJ1535" s="731">
        <v>84.83</v>
      </c>
    </row>
    <row r="1536" spans="35:36" ht="15" x14ac:dyDescent="0.2">
      <c r="AI1536" s="730">
        <v>0.84680000000001698</v>
      </c>
      <c r="AJ1536" s="731">
        <v>84.86</v>
      </c>
    </row>
    <row r="1537" spans="35:36" ht="15" x14ac:dyDescent="0.2">
      <c r="AI1537" s="730">
        <v>0.84670000000001699</v>
      </c>
      <c r="AJ1537" s="731">
        <v>84.9</v>
      </c>
    </row>
    <row r="1538" spans="35:36" ht="15" x14ac:dyDescent="0.2">
      <c r="AI1538" s="730">
        <v>0.84660000000001701</v>
      </c>
      <c r="AJ1538" s="731">
        <v>84.93</v>
      </c>
    </row>
    <row r="1539" spans="35:36" ht="15" x14ac:dyDescent="0.2">
      <c r="AI1539" s="730">
        <v>0.84650000000001702</v>
      </c>
      <c r="AJ1539" s="731">
        <v>84.96</v>
      </c>
    </row>
    <row r="1540" spans="35:36" ht="15" x14ac:dyDescent="0.2">
      <c r="AI1540" s="730">
        <v>0.84640000000001703</v>
      </c>
      <c r="AJ1540" s="731">
        <v>85</v>
      </c>
    </row>
    <row r="1541" spans="35:36" ht="15" x14ac:dyDescent="0.2">
      <c r="AI1541" s="730">
        <v>0.84630000000001704</v>
      </c>
      <c r="AJ1541" s="731">
        <v>85.03</v>
      </c>
    </row>
    <row r="1542" spans="35:36" ht="15" x14ac:dyDescent="0.2">
      <c r="AI1542" s="730">
        <v>0.84620000000001705</v>
      </c>
      <c r="AJ1542" s="731">
        <v>85.06</v>
      </c>
    </row>
    <row r="1543" spans="35:36" ht="15" x14ac:dyDescent="0.2">
      <c r="AI1543" s="730">
        <v>0.84610000000001695</v>
      </c>
      <c r="AJ1543" s="731">
        <v>85.1</v>
      </c>
    </row>
    <row r="1544" spans="35:36" ht="15" x14ac:dyDescent="0.2">
      <c r="AI1544" s="730">
        <v>0.84600000000001696</v>
      </c>
      <c r="AJ1544" s="731">
        <v>85.13</v>
      </c>
    </row>
    <row r="1545" spans="35:36" ht="15" x14ac:dyDescent="0.2">
      <c r="AI1545" s="730">
        <v>0.84590000000001697</v>
      </c>
      <c r="AJ1545" s="731">
        <v>85.16</v>
      </c>
    </row>
    <row r="1546" spans="35:36" ht="15" x14ac:dyDescent="0.2">
      <c r="AI1546" s="730">
        <v>0.84580000000001698</v>
      </c>
      <c r="AJ1546" s="731">
        <v>85.2</v>
      </c>
    </row>
    <row r="1547" spans="35:36" ht="15" x14ac:dyDescent="0.2">
      <c r="AI1547" s="730">
        <v>0.84570000000001699</v>
      </c>
      <c r="AJ1547" s="731">
        <v>85.23</v>
      </c>
    </row>
    <row r="1548" spans="35:36" ht="15" x14ac:dyDescent="0.2">
      <c r="AI1548" s="730">
        <v>0.845600000000017</v>
      </c>
      <c r="AJ1548" s="731">
        <v>85.26</v>
      </c>
    </row>
    <row r="1549" spans="35:36" ht="15" x14ac:dyDescent="0.2">
      <c r="AI1549" s="730">
        <v>0.84550000000001702</v>
      </c>
      <c r="AJ1549" s="731">
        <v>85.3</v>
      </c>
    </row>
    <row r="1550" spans="35:36" ht="15" x14ac:dyDescent="0.2">
      <c r="AI1550" s="730">
        <v>0.84540000000001703</v>
      </c>
      <c r="AJ1550" s="731">
        <v>85.33</v>
      </c>
    </row>
    <row r="1551" spans="35:36" ht="15" x14ac:dyDescent="0.2">
      <c r="AI1551" s="730">
        <v>0.84530000000001704</v>
      </c>
      <c r="AJ1551" s="731">
        <v>85.36</v>
      </c>
    </row>
    <row r="1552" spans="35:36" ht="15" x14ac:dyDescent="0.2">
      <c r="AI1552" s="730">
        <v>0.84520000000001705</v>
      </c>
      <c r="AJ1552" s="731">
        <v>85.4</v>
      </c>
    </row>
    <row r="1553" spans="35:36" ht="15" x14ac:dyDescent="0.2">
      <c r="AI1553" s="730">
        <v>0.84510000000001695</v>
      </c>
      <c r="AJ1553" s="731">
        <v>85.43</v>
      </c>
    </row>
    <row r="1554" spans="35:36" ht="15" x14ac:dyDescent="0.2">
      <c r="AI1554" s="730">
        <v>0.84500000000001696</v>
      </c>
      <c r="AJ1554" s="731">
        <v>85.46</v>
      </c>
    </row>
    <row r="1555" spans="35:36" ht="15" x14ac:dyDescent="0.2">
      <c r="AI1555" s="730">
        <v>0.84490000000001697</v>
      </c>
      <c r="AJ1555" s="731">
        <v>85.49</v>
      </c>
    </row>
    <row r="1556" spans="35:36" ht="15" x14ac:dyDescent="0.2">
      <c r="AI1556" s="730">
        <v>0.84480000000001698</v>
      </c>
      <c r="AJ1556" s="731">
        <v>85.53</v>
      </c>
    </row>
    <row r="1557" spans="35:36" ht="15" x14ac:dyDescent="0.2">
      <c r="AI1557" s="730">
        <v>0.84470000000001699</v>
      </c>
      <c r="AJ1557" s="731">
        <v>85.56</v>
      </c>
    </row>
    <row r="1558" spans="35:36" ht="15" x14ac:dyDescent="0.2">
      <c r="AI1558" s="730">
        <v>0.844600000000017</v>
      </c>
      <c r="AJ1558" s="731">
        <v>85.59</v>
      </c>
    </row>
    <row r="1559" spans="35:36" ht="15" x14ac:dyDescent="0.2">
      <c r="AI1559" s="730">
        <v>0.84450000000001701</v>
      </c>
      <c r="AJ1559" s="731">
        <v>85.63</v>
      </c>
    </row>
    <row r="1560" spans="35:36" ht="15" x14ac:dyDescent="0.2">
      <c r="AI1560" s="730">
        <v>0.84440000000001703</v>
      </c>
      <c r="AJ1560" s="731">
        <v>85.66</v>
      </c>
    </row>
    <row r="1561" spans="35:36" ht="15" x14ac:dyDescent="0.2">
      <c r="AI1561" s="730">
        <v>0.84430000000001704</v>
      </c>
      <c r="AJ1561" s="731">
        <v>85.69</v>
      </c>
    </row>
    <row r="1562" spans="35:36" ht="15" x14ac:dyDescent="0.2">
      <c r="AI1562" s="730">
        <v>0.84420000000001705</v>
      </c>
      <c r="AJ1562" s="731">
        <v>85.73</v>
      </c>
    </row>
    <row r="1563" spans="35:36" ht="15" x14ac:dyDescent="0.2">
      <c r="AI1563" s="730">
        <v>0.84410000000001795</v>
      </c>
      <c r="AJ1563" s="731">
        <v>85.76</v>
      </c>
    </row>
    <row r="1564" spans="35:36" ht="15" x14ac:dyDescent="0.2">
      <c r="AI1564" s="730">
        <v>0.84400000000001796</v>
      </c>
      <c r="AJ1564" s="731">
        <v>85.79</v>
      </c>
    </row>
    <row r="1565" spans="35:36" ht="15" x14ac:dyDescent="0.2">
      <c r="AI1565" s="730">
        <v>0.84390000000001797</v>
      </c>
      <c r="AJ1565" s="731">
        <v>85.82</v>
      </c>
    </row>
    <row r="1566" spans="35:36" ht="15" x14ac:dyDescent="0.2">
      <c r="AI1566" s="730">
        <v>0.84380000000001798</v>
      </c>
      <c r="AJ1566" s="731">
        <v>85.86</v>
      </c>
    </row>
    <row r="1567" spans="35:36" ht="15" x14ac:dyDescent="0.2">
      <c r="AI1567" s="730">
        <v>0.84370000000001799</v>
      </c>
      <c r="AJ1567" s="731">
        <v>85.89</v>
      </c>
    </row>
    <row r="1568" spans="35:36" ht="15" x14ac:dyDescent="0.2">
      <c r="AI1568" s="730">
        <v>0.843600000000018</v>
      </c>
      <c r="AJ1568" s="731">
        <v>85.92</v>
      </c>
    </row>
    <row r="1569" spans="35:36" ht="15" x14ac:dyDescent="0.2">
      <c r="AI1569" s="730">
        <v>0.84350000000001801</v>
      </c>
      <c r="AJ1569" s="731">
        <v>85.95</v>
      </c>
    </row>
    <row r="1570" spans="35:36" ht="15" x14ac:dyDescent="0.2">
      <c r="AI1570" s="730">
        <v>0.84340000000001802</v>
      </c>
      <c r="AJ1570" s="731">
        <v>85.99</v>
      </c>
    </row>
    <row r="1571" spans="35:36" ht="15" x14ac:dyDescent="0.2">
      <c r="AI1571" s="730">
        <v>0.84330000000001804</v>
      </c>
      <c r="AJ1571" s="731">
        <v>86.02</v>
      </c>
    </row>
    <row r="1572" spans="35:36" ht="15" x14ac:dyDescent="0.2">
      <c r="AI1572" s="730">
        <v>0.84320000000001805</v>
      </c>
      <c r="AJ1572" s="731">
        <v>86.05</v>
      </c>
    </row>
    <row r="1573" spans="35:36" ht="15" x14ac:dyDescent="0.2">
      <c r="AI1573" s="730">
        <v>0.84310000000001795</v>
      </c>
      <c r="AJ1573" s="731">
        <v>86.08</v>
      </c>
    </row>
    <row r="1574" spans="35:36" ht="15" x14ac:dyDescent="0.2">
      <c r="AI1574" s="730">
        <v>0.84300000000001796</v>
      </c>
      <c r="AJ1574" s="731">
        <v>86.12</v>
      </c>
    </row>
    <row r="1575" spans="35:36" ht="15" x14ac:dyDescent="0.2">
      <c r="AI1575" s="730">
        <v>0.84290000000001797</v>
      </c>
      <c r="AJ1575" s="731">
        <v>86.15</v>
      </c>
    </row>
    <row r="1576" spans="35:36" ht="15" x14ac:dyDescent="0.2">
      <c r="AI1576" s="730">
        <v>0.84280000000001798</v>
      </c>
      <c r="AJ1576" s="731">
        <v>86.18</v>
      </c>
    </row>
    <row r="1577" spans="35:36" ht="15" x14ac:dyDescent="0.2">
      <c r="AI1577" s="730">
        <v>0.84270000000001799</v>
      </c>
      <c r="AJ1577" s="731">
        <v>86.22</v>
      </c>
    </row>
    <row r="1578" spans="35:36" ht="15" x14ac:dyDescent="0.2">
      <c r="AI1578" s="730">
        <v>0.842600000000018</v>
      </c>
      <c r="AJ1578" s="731">
        <v>86.25</v>
      </c>
    </row>
    <row r="1579" spans="35:36" ht="15" x14ac:dyDescent="0.2">
      <c r="AI1579" s="730">
        <v>0.84250000000001801</v>
      </c>
      <c r="AJ1579" s="731">
        <v>86.28</v>
      </c>
    </row>
    <row r="1580" spans="35:36" ht="15" x14ac:dyDescent="0.2">
      <c r="AI1580" s="730">
        <v>0.84240000000001802</v>
      </c>
      <c r="AJ1580" s="731">
        <v>86.31</v>
      </c>
    </row>
    <row r="1581" spans="35:36" ht="15" x14ac:dyDescent="0.2">
      <c r="AI1581" s="730">
        <v>0.84230000000001803</v>
      </c>
      <c r="AJ1581" s="731">
        <v>86.35</v>
      </c>
    </row>
    <row r="1582" spans="35:36" ht="15" x14ac:dyDescent="0.2">
      <c r="AI1582" s="730">
        <v>0.84220000000001805</v>
      </c>
      <c r="AJ1582" s="731">
        <v>86.38</v>
      </c>
    </row>
    <row r="1583" spans="35:36" ht="15" x14ac:dyDescent="0.2">
      <c r="AI1583" s="730">
        <v>0.84210000000001795</v>
      </c>
      <c r="AJ1583" s="731">
        <v>86.41</v>
      </c>
    </row>
    <row r="1584" spans="35:36" ht="15" x14ac:dyDescent="0.2">
      <c r="AI1584" s="730">
        <v>0.84200000000001796</v>
      </c>
      <c r="AJ1584" s="731">
        <v>86.44</v>
      </c>
    </row>
    <row r="1585" spans="35:36" ht="15" x14ac:dyDescent="0.2">
      <c r="AI1585" s="730">
        <v>0.84190000000001797</v>
      </c>
      <c r="AJ1585" s="731">
        <v>86.48</v>
      </c>
    </row>
    <row r="1586" spans="35:36" ht="15" x14ac:dyDescent="0.2">
      <c r="AI1586" s="730">
        <v>0.84180000000001798</v>
      </c>
      <c r="AJ1586" s="731">
        <v>86.51</v>
      </c>
    </row>
    <row r="1587" spans="35:36" ht="15" x14ac:dyDescent="0.2">
      <c r="AI1587" s="730">
        <v>0.84170000000001799</v>
      </c>
      <c r="AJ1587" s="731">
        <v>86.54</v>
      </c>
    </row>
    <row r="1588" spans="35:36" ht="15" x14ac:dyDescent="0.2">
      <c r="AI1588" s="730">
        <v>0.841600000000018</v>
      </c>
      <c r="AJ1588" s="731">
        <v>86.57</v>
      </c>
    </row>
    <row r="1589" spans="35:36" ht="15" x14ac:dyDescent="0.2">
      <c r="AI1589" s="730">
        <v>0.84150000000001801</v>
      </c>
      <c r="AJ1589" s="731">
        <v>86.61</v>
      </c>
    </row>
    <row r="1590" spans="35:36" ht="15" x14ac:dyDescent="0.2">
      <c r="AI1590" s="730">
        <v>0.84140000000001802</v>
      </c>
      <c r="AJ1590" s="731">
        <v>86.64</v>
      </c>
    </row>
    <row r="1591" spans="35:36" ht="15" x14ac:dyDescent="0.2">
      <c r="AI1591" s="730">
        <v>0.84130000000001803</v>
      </c>
      <c r="AJ1591" s="731">
        <v>86.67</v>
      </c>
    </row>
    <row r="1592" spans="35:36" ht="15" x14ac:dyDescent="0.2">
      <c r="AI1592" s="730">
        <v>0.84120000000001804</v>
      </c>
      <c r="AJ1592" s="731">
        <v>86.7</v>
      </c>
    </row>
    <row r="1593" spans="35:36" ht="15" x14ac:dyDescent="0.2">
      <c r="AI1593" s="730">
        <v>0.84110000000001806</v>
      </c>
      <c r="AJ1593" s="731">
        <v>86.74</v>
      </c>
    </row>
    <row r="1594" spans="35:36" ht="15" x14ac:dyDescent="0.2">
      <c r="AI1594" s="730">
        <v>0.84100000000001796</v>
      </c>
      <c r="AJ1594" s="731">
        <v>86.77</v>
      </c>
    </row>
    <row r="1595" spans="35:36" ht="15" x14ac:dyDescent="0.2">
      <c r="AI1595" s="730">
        <v>0.84090000000001797</v>
      </c>
      <c r="AJ1595" s="731">
        <v>86.8</v>
      </c>
    </row>
    <row r="1596" spans="35:36" ht="15" x14ac:dyDescent="0.2">
      <c r="AI1596" s="730">
        <v>0.84080000000001798</v>
      </c>
      <c r="AJ1596" s="731">
        <v>86.83</v>
      </c>
    </row>
    <row r="1597" spans="35:36" ht="15" x14ac:dyDescent="0.2">
      <c r="AI1597" s="730">
        <v>0.84070000000001799</v>
      </c>
      <c r="AJ1597" s="731">
        <v>86.87</v>
      </c>
    </row>
    <row r="1598" spans="35:36" ht="15" x14ac:dyDescent="0.2">
      <c r="AI1598" s="730">
        <v>0.840600000000018</v>
      </c>
      <c r="AJ1598" s="731">
        <v>86.9</v>
      </c>
    </row>
    <row r="1599" spans="35:36" ht="15" x14ac:dyDescent="0.2">
      <c r="AI1599" s="730">
        <v>0.84050000000001801</v>
      </c>
      <c r="AJ1599" s="731">
        <v>86.93</v>
      </c>
    </row>
    <row r="1600" spans="35:36" ht="15" x14ac:dyDescent="0.2">
      <c r="AI1600" s="730">
        <v>0.84040000000001802</v>
      </c>
      <c r="AJ1600" s="731">
        <v>86.96</v>
      </c>
    </row>
    <row r="1601" spans="35:36" ht="15" x14ac:dyDescent="0.2">
      <c r="AI1601" s="730">
        <v>0.84030000000001803</v>
      </c>
      <c r="AJ1601" s="731">
        <v>87</v>
      </c>
    </row>
    <row r="1602" spans="35:36" ht="15" x14ac:dyDescent="0.2">
      <c r="AI1602" s="730">
        <v>0.84020000000001804</v>
      </c>
      <c r="AJ1602" s="731">
        <v>87.03</v>
      </c>
    </row>
    <row r="1603" spans="35:36" ht="15" x14ac:dyDescent="0.2">
      <c r="AI1603" s="730">
        <v>0.84010000000001805</v>
      </c>
      <c r="AJ1603" s="731">
        <v>87.06</v>
      </c>
    </row>
    <row r="1604" spans="35:36" ht="15" x14ac:dyDescent="0.2">
      <c r="AI1604" s="730">
        <v>0.84000000000001795</v>
      </c>
      <c r="AJ1604" s="731">
        <v>87.09</v>
      </c>
    </row>
    <row r="1605" spans="35:36" ht="15" x14ac:dyDescent="0.2">
      <c r="AI1605" s="730">
        <v>0.83990000000001797</v>
      </c>
      <c r="AJ1605" s="731">
        <v>87.13</v>
      </c>
    </row>
    <row r="1606" spans="35:36" ht="15" x14ac:dyDescent="0.2">
      <c r="AI1606" s="730">
        <v>0.83980000000001798</v>
      </c>
      <c r="AJ1606" s="731">
        <v>87.16</v>
      </c>
    </row>
    <row r="1607" spans="35:36" ht="15" x14ac:dyDescent="0.2">
      <c r="AI1607" s="730">
        <v>0.83970000000001799</v>
      </c>
      <c r="AJ1607" s="731">
        <v>87.19</v>
      </c>
    </row>
    <row r="1608" spans="35:36" ht="15" x14ac:dyDescent="0.2">
      <c r="AI1608" s="730">
        <v>0.839600000000018</v>
      </c>
      <c r="AJ1608" s="731">
        <v>87.22</v>
      </c>
    </row>
    <row r="1609" spans="35:36" ht="15" x14ac:dyDescent="0.2">
      <c r="AI1609" s="730">
        <v>0.83950000000001801</v>
      </c>
      <c r="AJ1609" s="731">
        <v>87.26</v>
      </c>
    </row>
    <row r="1610" spans="35:36" ht="15" x14ac:dyDescent="0.2">
      <c r="AI1610" s="730">
        <v>0.83940000000001802</v>
      </c>
      <c r="AJ1610" s="731">
        <v>87.29</v>
      </c>
    </row>
    <row r="1611" spans="35:36" ht="15" x14ac:dyDescent="0.2">
      <c r="AI1611" s="730">
        <v>0.83930000000001803</v>
      </c>
      <c r="AJ1611" s="731">
        <v>87.32</v>
      </c>
    </row>
    <row r="1612" spans="35:36" ht="15" x14ac:dyDescent="0.2">
      <c r="AI1612" s="730">
        <v>0.83920000000001804</v>
      </c>
      <c r="AJ1612" s="731">
        <v>87.35</v>
      </c>
    </row>
    <row r="1613" spans="35:36" ht="15" x14ac:dyDescent="0.2">
      <c r="AI1613" s="730">
        <v>0.83910000000001805</v>
      </c>
      <c r="AJ1613" s="731">
        <v>87.38</v>
      </c>
    </row>
    <row r="1614" spans="35:36" ht="15" x14ac:dyDescent="0.2">
      <c r="AI1614" s="730">
        <v>0.83900000000001795</v>
      </c>
      <c r="AJ1614" s="731">
        <v>87.42</v>
      </c>
    </row>
    <row r="1615" spans="35:36" ht="15" x14ac:dyDescent="0.2">
      <c r="AI1615" s="730">
        <v>0.83890000000001796</v>
      </c>
      <c r="AJ1615" s="731">
        <v>87.45</v>
      </c>
    </row>
    <row r="1616" spans="35:36" ht="15" x14ac:dyDescent="0.2">
      <c r="AI1616" s="730">
        <v>0.83880000000001798</v>
      </c>
      <c r="AJ1616" s="731">
        <v>87.48</v>
      </c>
    </row>
    <row r="1617" spans="35:36" ht="15" x14ac:dyDescent="0.2">
      <c r="AI1617" s="730">
        <v>0.83870000000001799</v>
      </c>
      <c r="AJ1617" s="731">
        <v>87.51</v>
      </c>
    </row>
    <row r="1618" spans="35:36" ht="15" x14ac:dyDescent="0.2">
      <c r="AI1618" s="730">
        <v>0.838600000000018</v>
      </c>
      <c r="AJ1618" s="731">
        <v>87.55</v>
      </c>
    </row>
    <row r="1619" spans="35:36" ht="15" x14ac:dyDescent="0.2">
      <c r="AI1619" s="730">
        <v>0.83850000000001801</v>
      </c>
      <c r="AJ1619" s="731">
        <v>87.58</v>
      </c>
    </row>
    <row r="1620" spans="35:36" ht="15" x14ac:dyDescent="0.2">
      <c r="AI1620" s="730">
        <v>0.83840000000001802</v>
      </c>
      <c r="AJ1620" s="731">
        <v>87.61</v>
      </c>
    </row>
    <row r="1621" spans="35:36" ht="15" x14ac:dyDescent="0.2">
      <c r="AI1621" s="730">
        <v>0.83830000000001803</v>
      </c>
      <c r="AJ1621" s="731">
        <v>87.64</v>
      </c>
    </row>
    <row r="1622" spans="35:36" ht="15" x14ac:dyDescent="0.2">
      <c r="AI1622" s="730">
        <v>0.83820000000001804</v>
      </c>
      <c r="AJ1622" s="731">
        <v>87.67</v>
      </c>
    </row>
    <row r="1623" spans="35:36" ht="15" x14ac:dyDescent="0.2">
      <c r="AI1623" s="730">
        <v>0.83810000000001805</v>
      </c>
      <c r="AJ1623" s="731">
        <v>87.71</v>
      </c>
    </row>
    <row r="1624" spans="35:36" ht="15" x14ac:dyDescent="0.2">
      <c r="AI1624" s="730">
        <v>0.83800000000001795</v>
      </c>
      <c r="AJ1624" s="731">
        <v>87.74</v>
      </c>
    </row>
    <row r="1625" spans="35:36" ht="15" x14ac:dyDescent="0.2">
      <c r="AI1625" s="730">
        <v>0.83790000000001796</v>
      </c>
      <c r="AJ1625" s="731">
        <v>87.77</v>
      </c>
    </row>
    <row r="1626" spans="35:36" ht="15" x14ac:dyDescent="0.2">
      <c r="AI1626" s="730">
        <v>0.83780000000001797</v>
      </c>
      <c r="AJ1626" s="731">
        <v>87.8</v>
      </c>
    </row>
    <row r="1627" spans="35:36" ht="15" x14ac:dyDescent="0.2">
      <c r="AI1627" s="730">
        <v>0.83770000000001799</v>
      </c>
      <c r="AJ1627" s="731">
        <v>87.83</v>
      </c>
    </row>
    <row r="1628" spans="35:36" ht="15" x14ac:dyDescent="0.2">
      <c r="AI1628" s="730">
        <v>0.837600000000018</v>
      </c>
      <c r="AJ1628" s="731">
        <v>87.86</v>
      </c>
    </row>
    <row r="1629" spans="35:36" ht="15" x14ac:dyDescent="0.2">
      <c r="AI1629" s="730">
        <v>0.83750000000001801</v>
      </c>
      <c r="AJ1629" s="731">
        <v>87.9</v>
      </c>
    </row>
    <row r="1630" spans="35:36" ht="15" x14ac:dyDescent="0.2">
      <c r="AI1630" s="730">
        <v>0.83740000000001802</v>
      </c>
      <c r="AJ1630" s="731">
        <v>87.93</v>
      </c>
    </row>
    <row r="1631" spans="35:36" ht="15" x14ac:dyDescent="0.2">
      <c r="AI1631" s="730">
        <v>0.83730000000001803</v>
      </c>
      <c r="AJ1631" s="731">
        <v>87.96</v>
      </c>
    </row>
    <row r="1632" spans="35:36" ht="15" x14ac:dyDescent="0.2">
      <c r="AI1632" s="730">
        <v>0.83720000000001804</v>
      </c>
      <c r="AJ1632" s="731">
        <v>87.99</v>
      </c>
    </row>
    <row r="1633" spans="35:36" ht="15" x14ac:dyDescent="0.2">
      <c r="AI1633" s="730">
        <v>0.83710000000001805</v>
      </c>
      <c r="AJ1633" s="731">
        <v>88.02</v>
      </c>
    </row>
    <row r="1634" spans="35:36" ht="15" x14ac:dyDescent="0.2">
      <c r="AI1634" s="730">
        <v>0.83700000000001795</v>
      </c>
      <c r="AJ1634" s="731">
        <v>88.06</v>
      </c>
    </row>
    <row r="1635" spans="35:36" ht="15" x14ac:dyDescent="0.2">
      <c r="AI1635" s="730">
        <v>0.83690000000001796</v>
      </c>
      <c r="AJ1635" s="731">
        <v>88.09</v>
      </c>
    </row>
    <row r="1636" spans="35:36" ht="15" x14ac:dyDescent="0.2">
      <c r="AI1636" s="730">
        <v>0.83680000000001797</v>
      </c>
      <c r="AJ1636" s="731">
        <v>88.12</v>
      </c>
    </row>
    <row r="1637" spans="35:36" ht="15" x14ac:dyDescent="0.2">
      <c r="AI1637" s="730">
        <v>0.83670000000001798</v>
      </c>
      <c r="AJ1637" s="731">
        <v>88.15</v>
      </c>
    </row>
    <row r="1638" spans="35:36" ht="15" x14ac:dyDescent="0.2">
      <c r="AI1638" s="730">
        <v>0.836600000000018</v>
      </c>
      <c r="AJ1638" s="731">
        <v>88.18</v>
      </c>
    </row>
    <row r="1639" spans="35:36" ht="15" x14ac:dyDescent="0.2">
      <c r="AI1639" s="730">
        <v>0.83650000000001801</v>
      </c>
      <c r="AJ1639" s="731">
        <v>88.21</v>
      </c>
    </row>
    <row r="1640" spans="35:36" ht="15" x14ac:dyDescent="0.2">
      <c r="AI1640" s="730">
        <v>0.83640000000001802</v>
      </c>
      <c r="AJ1640" s="731">
        <v>88.24</v>
      </c>
    </row>
    <row r="1641" spans="35:36" ht="15" x14ac:dyDescent="0.2">
      <c r="AI1641" s="730">
        <v>0.83630000000001803</v>
      </c>
      <c r="AJ1641" s="731">
        <v>88.28</v>
      </c>
    </row>
    <row r="1642" spans="35:36" ht="15" x14ac:dyDescent="0.2">
      <c r="AI1642" s="730">
        <v>0.83620000000001804</v>
      </c>
      <c r="AJ1642" s="731">
        <v>88.31</v>
      </c>
    </row>
    <row r="1643" spans="35:36" ht="15" x14ac:dyDescent="0.2">
      <c r="AI1643" s="730">
        <v>0.83610000000001805</v>
      </c>
      <c r="AJ1643" s="731">
        <v>88.34</v>
      </c>
    </row>
    <row r="1644" spans="35:36" ht="15" x14ac:dyDescent="0.2">
      <c r="AI1644" s="730">
        <v>0.83600000000001795</v>
      </c>
      <c r="AJ1644" s="731">
        <v>88.37</v>
      </c>
    </row>
    <row r="1645" spans="35:36" ht="15" x14ac:dyDescent="0.2">
      <c r="AI1645" s="730">
        <v>0.83590000000001796</v>
      </c>
      <c r="AJ1645" s="731">
        <v>88.4</v>
      </c>
    </row>
    <row r="1646" spans="35:36" ht="15" x14ac:dyDescent="0.2">
      <c r="AI1646" s="730">
        <v>0.83580000000001797</v>
      </c>
      <c r="AJ1646" s="731">
        <v>88.43</v>
      </c>
    </row>
    <row r="1647" spans="35:36" ht="15" x14ac:dyDescent="0.2">
      <c r="AI1647" s="730">
        <v>0.83570000000001798</v>
      </c>
      <c r="AJ1647" s="731">
        <v>88.47</v>
      </c>
    </row>
    <row r="1648" spans="35:36" ht="15" x14ac:dyDescent="0.2">
      <c r="AI1648" s="730">
        <v>0.835600000000018</v>
      </c>
      <c r="AJ1648" s="731">
        <v>88.5</v>
      </c>
    </row>
    <row r="1649" spans="35:36" ht="15" x14ac:dyDescent="0.2">
      <c r="AI1649" s="730">
        <v>0.83550000000001801</v>
      </c>
      <c r="AJ1649" s="731">
        <v>88.53</v>
      </c>
    </row>
    <row r="1650" spans="35:36" ht="15" x14ac:dyDescent="0.2">
      <c r="AI1650" s="730">
        <v>0.83540000000001802</v>
      </c>
      <c r="AJ1650" s="731">
        <v>88.56</v>
      </c>
    </row>
    <row r="1651" spans="35:36" ht="15" x14ac:dyDescent="0.2">
      <c r="AI1651" s="730">
        <v>0.83530000000001803</v>
      </c>
      <c r="AJ1651" s="731">
        <v>88.59</v>
      </c>
    </row>
    <row r="1652" spans="35:36" ht="15" x14ac:dyDescent="0.2">
      <c r="AI1652" s="730">
        <v>0.83520000000001804</v>
      </c>
      <c r="AJ1652" s="731">
        <v>88.62</v>
      </c>
    </row>
    <row r="1653" spans="35:36" ht="15" x14ac:dyDescent="0.2">
      <c r="AI1653" s="730">
        <v>0.83510000000001805</v>
      </c>
      <c r="AJ1653" s="731">
        <v>88.65</v>
      </c>
    </row>
    <row r="1654" spans="35:36" ht="15" x14ac:dyDescent="0.2">
      <c r="AI1654" s="730">
        <v>0.83500000000001895</v>
      </c>
      <c r="AJ1654" s="731">
        <v>88.68</v>
      </c>
    </row>
    <row r="1655" spans="35:36" ht="15" x14ac:dyDescent="0.2">
      <c r="AI1655" s="730">
        <v>0.83490000000001896</v>
      </c>
      <c r="AJ1655" s="731">
        <v>88.72</v>
      </c>
    </row>
    <row r="1656" spans="35:36" ht="15" x14ac:dyDescent="0.2">
      <c r="AI1656" s="730">
        <v>0.83480000000001897</v>
      </c>
      <c r="AJ1656" s="731">
        <v>88.75</v>
      </c>
    </row>
    <row r="1657" spans="35:36" ht="15" x14ac:dyDescent="0.2">
      <c r="AI1657" s="730">
        <v>0.83470000000001898</v>
      </c>
      <c r="AJ1657" s="731">
        <v>88.78</v>
      </c>
    </row>
    <row r="1658" spans="35:36" ht="15" x14ac:dyDescent="0.2">
      <c r="AI1658" s="730">
        <v>0.83460000000001899</v>
      </c>
      <c r="AJ1658" s="731">
        <v>88.81</v>
      </c>
    </row>
    <row r="1659" spans="35:36" ht="15" x14ac:dyDescent="0.2">
      <c r="AI1659" s="730">
        <v>0.834500000000019</v>
      </c>
      <c r="AJ1659" s="731">
        <v>88.84</v>
      </c>
    </row>
    <row r="1660" spans="35:36" ht="15" x14ac:dyDescent="0.2">
      <c r="AI1660" s="730">
        <v>0.83440000000001902</v>
      </c>
      <c r="AJ1660" s="731">
        <v>88.87</v>
      </c>
    </row>
    <row r="1661" spans="35:36" ht="15" x14ac:dyDescent="0.2">
      <c r="AI1661" s="730">
        <v>0.83430000000001903</v>
      </c>
      <c r="AJ1661" s="731">
        <v>88.9</v>
      </c>
    </row>
    <row r="1662" spans="35:36" ht="15" x14ac:dyDescent="0.2">
      <c r="AI1662" s="730">
        <v>0.83420000000001904</v>
      </c>
      <c r="AJ1662" s="731">
        <v>88.93</v>
      </c>
    </row>
    <row r="1663" spans="35:36" ht="15" x14ac:dyDescent="0.2">
      <c r="AI1663" s="730">
        <v>0.83410000000001905</v>
      </c>
      <c r="AJ1663" s="731">
        <v>88.96</v>
      </c>
    </row>
    <row r="1664" spans="35:36" ht="15" x14ac:dyDescent="0.2">
      <c r="AI1664" s="730">
        <v>0.83400000000001895</v>
      </c>
      <c r="AJ1664" s="731">
        <v>89</v>
      </c>
    </row>
    <row r="1665" spans="35:36" ht="15" x14ac:dyDescent="0.2">
      <c r="AI1665" s="730">
        <v>0.83390000000001896</v>
      </c>
      <c r="AJ1665" s="731">
        <v>89.03</v>
      </c>
    </row>
    <row r="1666" spans="35:36" ht="15" x14ac:dyDescent="0.2">
      <c r="AI1666" s="730">
        <v>0.83380000000001897</v>
      </c>
      <c r="AJ1666" s="731">
        <v>89.06</v>
      </c>
    </row>
    <row r="1667" spans="35:36" ht="15" x14ac:dyDescent="0.2">
      <c r="AI1667" s="730">
        <v>0.83370000000001898</v>
      </c>
      <c r="AJ1667" s="731">
        <v>89.09</v>
      </c>
    </row>
    <row r="1668" spans="35:36" ht="15" x14ac:dyDescent="0.2">
      <c r="AI1668" s="730">
        <v>0.83360000000001899</v>
      </c>
      <c r="AJ1668" s="731">
        <v>89.12</v>
      </c>
    </row>
    <row r="1669" spans="35:36" ht="15" x14ac:dyDescent="0.2">
      <c r="AI1669" s="730">
        <v>0.833500000000019</v>
      </c>
      <c r="AJ1669" s="731">
        <v>89.15</v>
      </c>
    </row>
    <row r="1670" spans="35:36" ht="15" x14ac:dyDescent="0.2">
      <c r="AI1670" s="730">
        <v>0.83340000000001901</v>
      </c>
      <c r="AJ1670" s="731">
        <v>89.18</v>
      </c>
    </row>
    <row r="1671" spans="35:36" ht="15" x14ac:dyDescent="0.2">
      <c r="AI1671" s="730">
        <v>0.83330000000001903</v>
      </c>
      <c r="AJ1671" s="731">
        <v>89.21</v>
      </c>
    </row>
    <row r="1672" spans="35:36" ht="15" x14ac:dyDescent="0.2">
      <c r="AI1672" s="730">
        <v>0.83320000000001904</v>
      </c>
      <c r="AJ1672" s="731">
        <v>89.24</v>
      </c>
    </row>
    <row r="1673" spans="35:36" ht="15" x14ac:dyDescent="0.2">
      <c r="AI1673" s="730">
        <v>0.83310000000001905</v>
      </c>
      <c r="AJ1673" s="731">
        <v>89.27</v>
      </c>
    </row>
    <row r="1674" spans="35:36" ht="15" x14ac:dyDescent="0.2">
      <c r="AI1674" s="730">
        <v>0.83300000000001895</v>
      </c>
      <c r="AJ1674" s="731">
        <v>89.3</v>
      </c>
    </row>
    <row r="1675" spans="35:36" ht="15" x14ac:dyDescent="0.2">
      <c r="AI1675" s="730">
        <v>0.83290000000001896</v>
      </c>
      <c r="AJ1675" s="731">
        <v>89.33</v>
      </c>
    </row>
    <row r="1676" spans="35:36" ht="15" x14ac:dyDescent="0.2">
      <c r="AI1676" s="730">
        <v>0.83280000000001897</v>
      </c>
      <c r="AJ1676" s="731">
        <v>89.37</v>
      </c>
    </row>
    <row r="1677" spans="35:36" ht="15" x14ac:dyDescent="0.2">
      <c r="AI1677" s="730">
        <v>0.83270000000001898</v>
      </c>
      <c r="AJ1677" s="731">
        <v>89.4</v>
      </c>
    </row>
    <row r="1678" spans="35:36" ht="15" x14ac:dyDescent="0.2">
      <c r="AI1678" s="730">
        <v>0.83260000000001899</v>
      </c>
      <c r="AJ1678" s="731">
        <v>89.43</v>
      </c>
    </row>
    <row r="1679" spans="35:36" ht="15" x14ac:dyDescent="0.2">
      <c r="AI1679" s="730">
        <v>0.832500000000019</v>
      </c>
      <c r="AJ1679" s="731">
        <v>89.46</v>
      </c>
    </row>
    <row r="1680" spans="35:36" ht="15" x14ac:dyDescent="0.2">
      <c r="AI1680" s="730">
        <v>0.83240000000001901</v>
      </c>
      <c r="AJ1680" s="731">
        <v>89.49</v>
      </c>
    </row>
    <row r="1681" spans="35:36" ht="15" x14ac:dyDescent="0.2">
      <c r="AI1681" s="730">
        <v>0.83230000000001902</v>
      </c>
      <c r="AJ1681" s="731">
        <v>89.52</v>
      </c>
    </row>
    <row r="1682" spans="35:36" ht="15" x14ac:dyDescent="0.2">
      <c r="AI1682" s="730">
        <v>0.83220000000001904</v>
      </c>
      <c r="AJ1682" s="731">
        <v>89.55</v>
      </c>
    </row>
    <row r="1683" spans="35:36" ht="15" x14ac:dyDescent="0.2">
      <c r="AI1683" s="730">
        <v>0.83210000000001905</v>
      </c>
      <c r="AJ1683" s="731">
        <v>89.58</v>
      </c>
    </row>
    <row r="1684" spans="35:36" ht="15" x14ac:dyDescent="0.2">
      <c r="AI1684" s="730">
        <v>0.83200000000001895</v>
      </c>
      <c r="AJ1684" s="731">
        <v>89.61</v>
      </c>
    </row>
    <row r="1685" spans="35:36" ht="15" x14ac:dyDescent="0.2">
      <c r="AI1685" s="730">
        <v>0.83190000000001896</v>
      </c>
      <c r="AJ1685" s="731">
        <v>89.64</v>
      </c>
    </row>
    <row r="1686" spans="35:36" ht="15" x14ac:dyDescent="0.2">
      <c r="AI1686" s="730">
        <v>0.83180000000001897</v>
      </c>
      <c r="AJ1686" s="731">
        <v>89.67</v>
      </c>
    </row>
    <row r="1687" spans="35:36" ht="15" x14ac:dyDescent="0.2">
      <c r="AI1687" s="730">
        <v>0.83170000000001898</v>
      </c>
      <c r="AJ1687" s="731">
        <v>89.7</v>
      </c>
    </row>
    <row r="1688" spans="35:36" ht="15" x14ac:dyDescent="0.2">
      <c r="AI1688" s="730">
        <v>0.83160000000001899</v>
      </c>
      <c r="AJ1688" s="731">
        <v>89.73</v>
      </c>
    </row>
    <row r="1689" spans="35:36" ht="15" x14ac:dyDescent="0.2">
      <c r="AI1689" s="730">
        <v>0.831500000000019</v>
      </c>
      <c r="AJ1689" s="731">
        <v>89.76</v>
      </c>
    </row>
    <row r="1690" spans="35:36" ht="15" x14ac:dyDescent="0.2">
      <c r="AI1690" s="730">
        <v>0.83140000000001901</v>
      </c>
      <c r="AJ1690" s="731">
        <v>89.79</v>
      </c>
    </row>
    <row r="1691" spans="35:36" ht="15" x14ac:dyDescent="0.2">
      <c r="AI1691" s="730">
        <v>0.83130000000001902</v>
      </c>
      <c r="AJ1691" s="731">
        <v>89.82</v>
      </c>
    </row>
    <row r="1692" spans="35:36" ht="15" x14ac:dyDescent="0.2">
      <c r="AI1692" s="730">
        <v>0.83120000000001903</v>
      </c>
      <c r="AJ1692" s="731">
        <v>89.85</v>
      </c>
    </row>
    <row r="1693" spans="35:36" ht="15" x14ac:dyDescent="0.2">
      <c r="AI1693" s="730">
        <v>0.83110000000001905</v>
      </c>
      <c r="AJ1693" s="731">
        <v>89.88</v>
      </c>
    </row>
    <row r="1694" spans="35:36" ht="15" x14ac:dyDescent="0.2">
      <c r="AI1694" s="730">
        <v>0.83100000000001895</v>
      </c>
      <c r="AJ1694" s="731">
        <v>89.91</v>
      </c>
    </row>
    <row r="1695" spans="35:36" ht="15" x14ac:dyDescent="0.2">
      <c r="AI1695" s="730">
        <v>0.83090000000001896</v>
      </c>
      <c r="AJ1695" s="731">
        <v>89.94</v>
      </c>
    </row>
    <row r="1696" spans="35:36" ht="15" x14ac:dyDescent="0.2">
      <c r="AI1696" s="730">
        <v>0.83080000000001897</v>
      </c>
      <c r="AJ1696" s="731">
        <v>89.97</v>
      </c>
    </row>
    <row r="1697" spans="35:36" ht="15" x14ac:dyDescent="0.2">
      <c r="AI1697" s="730">
        <v>0.83070000000001898</v>
      </c>
      <c r="AJ1697" s="731">
        <v>90</v>
      </c>
    </row>
    <row r="1698" spans="35:36" ht="15" x14ac:dyDescent="0.2">
      <c r="AI1698" s="730">
        <v>0.83060000000001899</v>
      </c>
      <c r="AJ1698" s="731">
        <v>90.04</v>
      </c>
    </row>
    <row r="1699" spans="35:36" ht="15" x14ac:dyDescent="0.2">
      <c r="AI1699" s="730">
        <v>0.830500000000019</v>
      </c>
      <c r="AJ1699" s="731">
        <v>90.07</v>
      </c>
    </row>
    <row r="1700" spans="35:36" ht="15" x14ac:dyDescent="0.2">
      <c r="AI1700" s="730">
        <v>0.83040000000001901</v>
      </c>
      <c r="AJ1700" s="731">
        <v>90.1</v>
      </c>
    </row>
    <row r="1701" spans="35:36" ht="15" x14ac:dyDescent="0.2">
      <c r="AI1701" s="730">
        <v>0.83030000000001902</v>
      </c>
      <c r="AJ1701" s="731">
        <v>90.13</v>
      </c>
    </row>
    <row r="1702" spans="35:36" ht="15" x14ac:dyDescent="0.2">
      <c r="AI1702" s="730">
        <v>0.83020000000001903</v>
      </c>
      <c r="AJ1702" s="731">
        <v>90.16</v>
      </c>
    </row>
    <row r="1703" spans="35:36" ht="15" x14ac:dyDescent="0.2">
      <c r="AI1703" s="730">
        <v>0.83010000000001904</v>
      </c>
      <c r="AJ1703" s="731">
        <v>90.19</v>
      </c>
    </row>
    <row r="1704" spans="35:36" ht="15" x14ac:dyDescent="0.2">
      <c r="AI1704" s="730">
        <v>0.83000000000001894</v>
      </c>
      <c r="AJ1704" s="731">
        <v>90.22</v>
      </c>
    </row>
    <row r="1705" spans="35:36" ht="15" x14ac:dyDescent="0.2">
      <c r="AI1705" s="730">
        <v>0.82990000000001896</v>
      </c>
      <c r="AJ1705" s="731">
        <v>90.25</v>
      </c>
    </row>
    <row r="1706" spans="35:36" ht="15" x14ac:dyDescent="0.2">
      <c r="AI1706" s="730">
        <v>0.82980000000001897</v>
      </c>
      <c r="AJ1706" s="731">
        <v>90.28</v>
      </c>
    </row>
    <row r="1707" spans="35:36" ht="15" x14ac:dyDescent="0.2">
      <c r="AI1707" s="730">
        <v>0.82970000000001898</v>
      </c>
      <c r="AJ1707" s="731">
        <v>90.31</v>
      </c>
    </row>
    <row r="1708" spans="35:36" ht="15" x14ac:dyDescent="0.2">
      <c r="AI1708" s="730">
        <v>0.82960000000001899</v>
      </c>
      <c r="AJ1708" s="731">
        <v>90.34</v>
      </c>
    </row>
    <row r="1709" spans="35:36" ht="15" x14ac:dyDescent="0.2">
      <c r="AI1709" s="730">
        <v>0.829500000000019</v>
      </c>
      <c r="AJ1709" s="731">
        <v>90.37</v>
      </c>
    </row>
    <row r="1710" spans="35:36" ht="15" x14ac:dyDescent="0.2">
      <c r="AI1710" s="730">
        <v>0.82940000000001901</v>
      </c>
      <c r="AJ1710" s="731">
        <v>90.4</v>
      </c>
    </row>
    <row r="1711" spans="35:36" ht="15" x14ac:dyDescent="0.2">
      <c r="AI1711" s="730">
        <v>0.82930000000001902</v>
      </c>
      <c r="AJ1711" s="731">
        <v>90.43</v>
      </c>
    </row>
    <row r="1712" spans="35:36" ht="15" x14ac:dyDescent="0.2">
      <c r="AI1712" s="730">
        <v>0.82920000000001903</v>
      </c>
      <c r="AJ1712" s="731">
        <v>90.46</v>
      </c>
    </row>
    <row r="1713" spans="35:36" ht="15" x14ac:dyDescent="0.2">
      <c r="AI1713" s="730">
        <v>0.82910000000001904</v>
      </c>
      <c r="AJ1713" s="731">
        <v>90.49</v>
      </c>
    </row>
    <row r="1714" spans="35:36" ht="15" x14ac:dyDescent="0.2">
      <c r="AI1714" s="730">
        <v>0.82900000000001905</v>
      </c>
      <c r="AJ1714" s="731">
        <v>90.52</v>
      </c>
    </row>
    <row r="1715" spans="35:36" ht="15" x14ac:dyDescent="0.2">
      <c r="AI1715" s="730">
        <v>0.82890000000001895</v>
      </c>
      <c r="AJ1715" s="731">
        <v>90.55</v>
      </c>
    </row>
    <row r="1716" spans="35:36" ht="15" x14ac:dyDescent="0.2">
      <c r="AI1716" s="730">
        <v>0.82880000000001897</v>
      </c>
      <c r="AJ1716" s="731">
        <v>90.58</v>
      </c>
    </row>
    <row r="1717" spans="35:36" ht="15" x14ac:dyDescent="0.2">
      <c r="AI1717" s="730">
        <v>0.82870000000001898</v>
      </c>
      <c r="AJ1717" s="731">
        <v>90.61</v>
      </c>
    </row>
    <row r="1718" spans="35:36" ht="15" x14ac:dyDescent="0.2">
      <c r="AI1718" s="730">
        <v>0.82860000000001899</v>
      </c>
      <c r="AJ1718" s="731">
        <v>90.64</v>
      </c>
    </row>
    <row r="1719" spans="35:36" ht="15" x14ac:dyDescent="0.2">
      <c r="AI1719" s="730">
        <v>0.828500000000019</v>
      </c>
      <c r="AJ1719" s="731">
        <v>90.67</v>
      </c>
    </row>
    <row r="1720" spans="35:36" ht="15" x14ac:dyDescent="0.2">
      <c r="AI1720" s="730">
        <v>0.82840000000001901</v>
      </c>
      <c r="AJ1720" s="731">
        <v>90.7</v>
      </c>
    </row>
    <row r="1721" spans="35:36" ht="15" x14ac:dyDescent="0.2">
      <c r="AI1721" s="730">
        <v>0.82830000000001902</v>
      </c>
      <c r="AJ1721" s="731">
        <v>90.73</v>
      </c>
    </row>
    <row r="1722" spans="35:36" ht="15" x14ac:dyDescent="0.2">
      <c r="AI1722" s="730">
        <v>0.82820000000001903</v>
      </c>
      <c r="AJ1722" s="731">
        <v>90.75</v>
      </c>
    </row>
    <row r="1723" spans="35:36" ht="15" x14ac:dyDescent="0.2">
      <c r="AI1723" s="730">
        <v>0.82810000000001904</v>
      </c>
      <c r="AJ1723" s="731">
        <v>90.78</v>
      </c>
    </row>
    <row r="1724" spans="35:36" ht="15" x14ac:dyDescent="0.2">
      <c r="AI1724" s="730">
        <v>0.82800000000001905</v>
      </c>
      <c r="AJ1724" s="731">
        <v>90.81</v>
      </c>
    </row>
    <row r="1725" spans="35:36" ht="15" x14ac:dyDescent="0.2">
      <c r="AI1725" s="730">
        <v>0.82790000000001895</v>
      </c>
      <c r="AJ1725" s="731">
        <v>90.84</v>
      </c>
    </row>
    <row r="1726" spans="35:36" ht="15" x14ac:dyDescent="0.2">
      <c r="AI1726" s="730">
        <v>0.82780000000001897</v>
      </c>
      <c r="AJ1726" s="731">
        <v>90.87</v>
      </c>
    </row>
    <row r="1727" spans="35:36" ht="15" x14ac:dyDescent="0.2">
      <c r="AI1727" s="730">
        <v>0.82770000000001898</v>
      </c>
      <c r="AJ1727" s="731">
        <v>90.9</v>
      </c>
    </row>
    <row r="1728" spans="35:36" ht="15" x14ac:dyDescent="0.2">
      <c r="AI1728" s="730">
        <v>0.82760000000001899</v>
      </c>
      <c r="AJ1728" s="731">
        <v>90.93</v>
      </c>
    </row>
    <row r="1729" spans="35:36" ht="15" x14ac:dyDescent="0.2">
      <c r="AI1729" s="730">
        <v>0.827500000000019</v>
      </c>
      <c r="AJ1729" s="731">
        <v>90.96</v>
      </c>
    </row>
    <row r="1730" spans="35:36" ht="15" x14ac:dyDescent="0.2">
      <c r="AI1730" s="730">
        <v>0.82740000000001901</v>
      </c>
      <c r="AJ1730" s="731">
        <v>90.99</v>
      </c>
    </row>
    <row r="1731" spans="35:36" ht="15" x14ac:dyDescent="0.2">
      <c r="AI1731" s="730">
        <v>0.82730000000001902</v>
      </c>
      <c r="AJ1731" s="731">
        <v>91.02</v>
      </c>
    </row>
    <row r="1732" spans="35:36" ht="15" x14ac:dyDescent="0.2">
      <c r="AI1732" s="730">
        <v>0.82720000000001903</v>
      </c>
      <c r="AJ1732" s="731">
        <v>91.05</v>
      </c>
    </row>
    <row r="1733" spans="35:36" ht="15" x14ac:dyDescent="0.2">
      <c r="AI1733" s="730">
        <v>0.82710000000001904</v>
      </c>
      <c r="AJ1733" s="731">
        <v>91.08</v>
      </c>
    </row>
    <row r="1734" spans="35:36" ht="15" x14ac:dyDescent="0.2">
      <c r="AI1734" s="730">
        <v>0.82700000000001905</v>
      </c>
      <c r="AJ1734" s="731">
        <v>91.11</v>
      </c>
    </row>
    <row r="1735" spans="35:36" ht="15" x14ac:dyDescent="0.2">
      <c r="AI1735" s="730">
        <v>0.82690000000001895</v>
      </c>
      <c r="AJ1735" s="731">
        <v>91.14</v>
      </c>
    </row>
    <row r="1736" spans="35:36" ht="15" x14ac:dyDescent="0.2">
      <c r="AI1736" s="730">
        <v>0.82680000000001896</v>
      </c>
      <c r="AJ1736" s="731">
        <v>91.17</v>
      </c>
    </row>
    <row r="1737" spans="35:36" ht="15" x14ac:dyDescent="0.2">
      <c r="AI1737" s="730">
        <v>0.82670000000001898</v>
      </c>
      <c r="AJ1737" s="731">
        <v>91.2</v>
      </c>
    </row>
    <row r="1738" spans="35:36" ht="15" x14ac:dyDescent="0.2">
      <c r="AI1738" s="730">
        <v>0.82660000000001899</v>
      </c>
      <c r="AJ1738" s="731">
        <v>91.22</v>
      </c>
    </row>
    <row r="1739" spans="35:36" ht="15" x14ac:dyDescent="0.2">
      <c r="AI1739" s="730">
        <v>0.826500000000019</v>
      </c>
      <c r="AJ1739" s="731">
        <v>91.25</v>
      </c>
    </row>
    <row r="1740" spans="35:36" ht="15" x14ac:dyDescent="0.2">
      <c r="AI1740" s="730">
        <v>0.82640000000001901</v>
      </c>
      <c r="AJ1740" s="731">
        <v>91.28</v>
      </c>
    </row>
    <row r="1741" spans="35:36" ht="15" x14ac:dyDescent="0.2">
      <c r="AI1741" s="730">
        <v>0.82630000000001902</v>
      </c>
      <c r="AJ1741" s="731">
        <v>91.31</v>
      </c>
    </row>
    <row r="1742" spans="35:36" ht="15" x14ac:dyDescent="0.2">
      <c r="AI1742" s="730">
        <v>0.82620000000001903</v>
      </c>
      <c r="AJ1742" s="731">
        <v>91.34</v>
      </c>
    </row>
    <row r="1743" spans="35:36" ht="15" x14ac:dyDescent="0.2">
      <c r="AI1743" s="730">
        <v>0.82610000000001904</v>
      </c>
      <c r="AJ1743" s="731">
        <v>91.37</v>
      </c>
    </row>
    <row r="1744" spans="35:36" ht="15" x14ac:dyDescent="0.2">
      <c r="AI1744" s="730">
        <v>0.82600000000001905</v>
      </c>
      <c r="AJ1744" s="731">
        <v>91.4</v>
      </c>
    </row>
    <row r="1745" spans="35:36" ht="15" x14ac:dyDescent="0.2">
      <c r="AI1745" s="730">
        <v>0.82590000000001995</v>
      </c>
      <c r="AJ1745" s="731">
        <v>91.43</v>
      </c>
    </row>
    <row r="1746" spans="35:36" ht="15" x14ac:dyDescent="0.2">
      <c r="AI1746" s="730">
        <v>0.82580000000001996</v>
      </c>
      <c r="AJ1746" s="731">
        <v>91.46</v>
      </c>
    </row>
    <row r="1747" spans="35:36" ht="15" x14ac:dyDescent="0.2">
      <c r="AI1747" s="730">
        <v>0.82570000000001997</v>
      </c>
      <c r="AJ1747" s="731">
        <v>91.49</v>
      </c>
    </row>
    <row r="1748" spans="35:36" ht="15" x14ac:dyDescent="0.2">
      <c r="AI1748" s="730">
        <v>0.82560000000001998</v>
      </c>
      <c r="AJ1748" s="731">
        <v>91.51</v>
      </c>
    </row>
    <row r="1749" spans="35:36" ht="15" x14ac:dyDescent="0.2">
      <c r="AI1749" s="730">
        <v>0.82550000000002</v>
      </c>
      <c r="AJ1749" s="731">
        <v>91.54</v>
      </c>
    </row>
    <row r="1750" spans="35:36" ht="15" x14ac:dyDescent="0.2">
      <c r="AI1750" s="730">
        <v>0.82540000000002001</v>
      </c>
      <c r="AJ1750" s="731">
        <v>91.57</v>
      </c>
    </row>
    <row r="1751" spans="35:36" ht="15" x14ac:dyDescent="0.2">
      <c r="AI1751" s="730">
        <v>0.82530000000002002</v>
      </c>
      <c r="AJ1751" s="731">
        <v>91.6</v>
      </c>
    </row>
    <row r="1752" spans="35:36" ht="15" x14ac:dyDescent="0.2">
      <c r="AI1752" s="730">
        <v>0.82520000000002003</v>
      </c>
      <c r="AJ1752" s="731">
        <v>91.63</v>
      </c>
    </row>
    <row r="1753" spans="35:36" ht="15" x14ac:dyDescent="0.2">
      <c r="AI1753" s="730">
        <v>0.82510000000002004</v>
      </c>
      <c r="AJ1753" s="731">
        <v>91.66</v>
      </c>
    </row>
    <row r="1754" spans="35:36" ht="15" x14ac:dyDescent="0.2">
      <c r="AI1754" s="730">
        <v>0.82500000000002005</v>
      </c>
      <c r="AJ1754" s="731">
        <v>91.69</v>
      </c>
    </row>
    <row r="1755" spans="35:36" ht="15" x14ac:dyDescent="0.2">
      <c r="AI1755" s="730">
        <v>0.82490000000001995</v>
      </c>
      <c r="AJ1755" s="731">
        <v>91.72</v>
      </c>
    </row>
    <row r="1756" spans="35:36" ht="15" x14ac:dyDescent="0.2">
      <c r="AI1756" s="730">
        <v>0.82480000000001996</v>
      </c>
      <c r="AJ1756" s="731">
        <v>91.75</v>
      </c>
    </row>
    <row r="1757" spans="35:36" ht="15" x14ac:dyDescent="0.2">
      <c r="AI1757" s="730">
        <v>0.82470000000001997</v>
      </c>
      <c r="AJ1757" s="731">
        <v>91.78</v>
      </c>
    </row>
    <row r="1758" spans="35:36" ht="15" x14ac:dyDescent="0.2">
      <c r="AI1758" s="730">
        <v>0.82460000000001998</v>
      </c>
      <c r="AJ1758" s="731">
        <v>91.8</v>
      </c>
    </row>
    <row r="1759" spans="35:36" ht="15" x14ac:dyDescent="0.2">
      <c r="AI1759" s="730">
        <v>0.82450000000001999</v>
      </c>
      <c r="AJ1759" s="731">
        <v>91.83</v>
      </c>
    </row>
    <row r="1760" spans="35:36" ht="15" x14ac:dyDescent="0.2">
      <c r="AI1760" s="730">
        <v>0.82440000000002001</v>
      </c>
      <c r="AJ1760" s="731">
        <v>91.86</v>
      </c>
    </row>
    <row r="1761" spans="35:36" ht="15" x14ac:dyDescent="0.2">
      <c r="AI1761" s="730">
        <v>0.82430000000002002</v>
      </c>
      <c r="AJ1761" s="731">
        <v>91.89</v>
      </c>
    </row>
    <row r="1762" spans="35:36" ht="15" x14ac:dyDescent="0.2">
      <c r="AI1762" s="730">
        <v>0.82420000000002003</v>
      </c>
      <c r="AJ1762" s="731">
        <v>91.92</v>
      </c>
    </row>
    <row r="1763" spans="35:36" ht="15" x14ac:dyDescent="0.2">
      <c r="AI1763" s="730">
        <v>0.82410000000002004</v>
      </c>
      <c r="AJ1763" s="731">
        <v>91.95</v>
      </c>
    </row>
    <row r="1764" spans="35:36" ht="15" x14ac:dyDescent="0.2">
      <c r="AI1764" s="730">
        <v>0.82400000000002005</v>
      </c>
      <c r="AJ1764" s="731">
        <v>91.98</v>
      </c>
    </row>
    <row r="1765" spans="35:36" ht="15" x14ac:dyDescent="0.2">
      <c r="AI1765" s="730">
        <v>0.82390000000001995</v>
      </c>
      <c r="AJ1765" s="731">
        <v>92.01</v>
      </c>
    </row>
    <row r="1766" spans="35:36" ht="15" x14ac:dyDescent="0.2">
      <c r="AI1766" s="730">
        <v>0.82380000000001996</v>
      </c>
      <c r="AJ1766" s="731">
        <v>92.03</v>
      </c>
    </row>
    <row r="1767" spans="35:36" ht="15" x14ac:dyDescent="0.2">
      <c r="AI1767" s="730">
        <v>0.82370000000001997</v>
      </c>
      <c r="AJ1767" s="731">
        <v>92.06</v>
      </c>
    </row>
    <row r="1768" spans="35:36" ht="15" x14ac:dyDescent="0.2">
      <c r="AI1768" s="730">
        <v>0.82360000000001998</v>
      </c>
      <c r="AJ1768" s="731">
        <v>92.09</v>
      </c>
    </row>
    <row r="1769" spans="35:36" ht="15" x14ac:dyDescent="0.2">
      <c r="AI1769" s="730">
        <v>0.82350000000001999</v>
      </c>
      <c r="AJ1769" s="731">
        <v>92.12</v>
      </c>
    </row>
    <row r="1770" spans="35:36" ht="15" x14ac:dyDescent="0.2">
      <c r="AI1770" s="730">
        <v>0.82340000000002</v>
      </c>
      <c r="AJ1770" s="731">
        <v>92.15</v>
      </c>
    </row>
    <row r="1771" spans="35:36" ht="15" x14ac:dyDescent="0.2">
      <c r="AI1771" s="730">
        <v>0.82330000000002002</v>
      </c>
      <c r="AJ1771" s="731">
        <v>92.18</v>
      </c>
    </row>
    <row r="1772" spans="35:36" ht="15" x14ac:dyDescent="0.2">
      <c r="AI1772" s="730">
        <v>0.82320000000002003</v>
      </c>
      <c r="AJ1772" s="731">
        <v>92.21</v>
      </c>
    </row>
    <row r="1773" spans="35:36" ht="15" x14ac:dyDescent="0.2">
      <c r="AI1773" s="730">
        <v>0.82310000000002004</v>
      </c>
      <c r="AJ1773" s="731">
        <v>92.24</v>
      </c>
    </row>
    <row r="1774" spans="35:36" ht="15" x14ac:dyDescent="0.2">
      <c r="AI1774" s="730">
        <v>0.82300000000002005</v>
      </c>
      <c r="AJ1774" s="731">
        <v>92.26</v>
      </c>
    </row>
    <row r="1775" spans="35:36" ht="15" x14ac:dyDescent="0.2">
      <c r="AI1775" s="730">
        <v>0.82290000000001995</v>
      </c>
      <c r="AJ1775" s="731">
        <v>92.29</v>
      </c>
    </row>
    <row r="1776" spans="35:36" ht="15" x14ac:dyDescent="0.2">
      <c r="AI1776" s="730">
        <v>0.82280000000001996</v>
      </c>
      <c r="AJ1776" s="731">
        <v>92.32</v>
      </c>
    </row>
    <row r="1777" spans="35:36" ht="15" x14ac:dyDescent="0.2">
      <c r="AI1777" s="730">
        <v>0.82270000000001997</v>
      </c>
      <c r="AJ1777" s="731">
        <v>92.35</v>
      </c>
    </row>
    <row r="1778" spans="35:36" ht="15" x14ac:dyDescent="0.2">
      <c r="AI1778" s="730">
        <v>0.82260000000001998</v>
      </c>
      <c r="AJ1778" s="731">
        <v>92.38</v>
      </c>
    </row>
    <row r="1779" spans="35:36" ht="15" x14ac:dyDescent="0.2">
      <c r="AI1779" s="730">
        <v>0.82250000000001999</v>
      </c>
      <c r="AJ1779" s="731">
        <v>92.41</v>
      </c>
    </row>
    <row r="1780" spans="35:36" ht="15" x14ac:dyDescent="0.2">
      <c r="AI1780" s="730">
        <v>0.82240000000002</v>
      </c>
      <c r="AJ1780" s="731">
        <v>92.44</v>
      </c>
    </row>
    <row r="1781" spans="35:36" ht="15" x14ac:dyDescent="0.2">
      <c r="AI1781" s="730">
        <v>0.82230000000002001</v>
      </c>
      <c r="AJ1781" s="731">
        <v>92.46</v>
      </c>
    </row>
    <row r="1782" spans="35:36" ht="15" x14ac:dyDescent="0.2">
      <c r="AI1782" s="730">
        <v>0.82220000000002003</v>
      </c>
      <c r="AJ1782" s="731">
        <v>92.49</v>
      </c>
    </row>
    <row r="1783" spans="35:36" ht="15" x14ac:dyDescent="0.2">
      <c r="AI1783" s="730">
        <v>0.82210000000002004</v>
      </c>
      <c r="AJ1783" s="731">
        <v>92.52</v>
      </c>
    </row>
    <row r="1784" spans="35:36" ht="15" x14ac:dyDescent="0.2">
      <c r="AI1784" s="730">
        <v>0.82200000000002005</v>
      </c>
      <c r="AJ1784" s="731">
        <v>92.55</v>
      </c>
    </row>
    <row r="1785" spans="35:36" ht="15" x14ac:dyDescent="0.2">
      <c r="AI1785" s="730">
        <v>0.82190000000001995</v>
      </c>
      <c r="AJ1785" s="731">
        <v>92.58</v>
      </c>
    </row>
    <row r="1786" spans="35:36" ht="15" x14ac:dyDescent="0.2">
      <c r="AI1786" s="730">
        <v>0.82180000000001996</v>
      </c>
      <c r="AJ1786" s="731">
        <v>92.6</v>
      </c>
    </row>
    <row r="1787" spans="35:36" ht="15" x14ac:dyDescent="0.2">
      <c r="AI1787" s="730">
        <v>0.82170000000001997</v>
      </c>
      <c r="AJ1787" s="731">
        <v>92.63</v>
      </c>
    </row>
    <row r="1788" spans="35:36" ht="15" x14ac:dyDescent="0.2">
      <c r="AI1788" s="730">
        <v>0.82160000000001998</v>
      </c>
      <c r="AJ1788" s="731">
        <v>92.66</v>
      </c>
    </row>
    <row r="1789" spans="35:36" ht="15" x14ac:dyDescent="0.2">
      <c r="AI1789" s="730">
        <v>0.82150000000001999</v>
      </c>
      <c r="AJ1789" s="731">
        <v>92.69</v>
      </c>
    </row>
    <row r="1790" spans="35:36" ht="15" x14ac:dyDescent="0.2">
      <c r="AI1790" s="730">
        <v>0.82140000000002</v>
      </c>
      <c r="AJ1790" s="731">
        <v>92.72</v>
      </c>
    </row>
    <row r="1791" spans="35:36" ht="15" x14ac:dyDescent="0.2">
      <c r="AI1791" s="730">
        <v>0.82130000000002001</v>
      </c>
      <c r="AJ1791" s="731">
        <v>92.74</v>
      </c>
    </row>
    <row r="1792" spans="35:36" ht="15" x14ac:dyDescent="0.2">
      <c r="AI1792" s="730">
        <v>0.82120000000002003</v>
      </c>
      <c r="AJ1792" s="731">
        <v>92.77</v>
      </c>
    </row>
    <row r="1793" spans="35:36" ht="15" x14ac:dyDescent="0.2">
      <c r="AI1793" s="730">
        <v>0.82110000000002004</v>
      </c>
      <c r="AJ1793" s="731">
        <v>92.8</v>
      </c>
    </row>
    <row r="1794" spans="35:36" ht="15" x14ac:dyDescent="0.2">
      <c r="AI1794" s="730">
        <v>0.82100000000002005</v>
      </c>
      <c r="AJ1794" s="731">
        <v>92.83</v>
      </c>
    </row>
    <row r="1795" spans="35:36" ht="15" x14ac:dyDescent="0.2">
      <c r="AI1795" s="730">
        <v>0.82090000000001995</v>
      </c>
      <c r="AJ1795" s="731">
        <v>92.86</v>
      </c>
    </row>
    <row r="1796" spans="35:36" ht="15" x14ac:dyDescent="0.2">
      <c r="AI1796" s="730">
        <v>0.82080000000001996</v>
      </c>
      <c r="AJ1796" s="731">
        <v>92.88</v>
      </c>
    </row>
    <row r="1797" spans="35:36" ht="15" x14ac:dyDescent="0.2">
      <c r="AI1797" s="730">
        <v>0.82070000000001997</v>
      </c>
      <c r="AJ1797" s="731">
        <v>92.91</v>
      </c>
    </row>
    <row r="1798" spans="35:36" ht="15" x14ac:dyDescent="0.2">
      <c r="AI1798" s="730">
        <v>0.82060000000001998</v>
      </c>
      <c r="AJ1798" s="731">
        <v>92.94</v>
      </c>
    </row>
    <row r="1799" spans="35:36" ht="15" x14ac:dyDescent="0.2">
      <c r="AI1799" s="730">
        <v>0.82050000000001999</v>
      </c>
      <c r="AJ1799" s="731">
        <v>92.97</v>
      </c>
    </row>
    <row r="1800" spans="35:36" ht="15" x14ac:dyDescent="0.2">
      <c r="AI1800" s="730">
        <v>0.82040000000002</v>
      </c>
      <c r="AJ1800" s="731">
        <v>92.99</v>
      </c>
    </row>
    <row r="1801" spans="35:36" ht="15" x14ac:dyDescent="0.2">
      <c r="AI1801" s="730">
        <v>0.82030000000002001</v>
      </c>
      <c r="AJ1801" s="731">
        <v>93.02</v>
      </c>
    </row>
    <row r="1802" spans="35:36" ht="15" x14ac:dyDescent="0.2">
      <c r="AI1802" s="730">
        <v>0.82020000000002002</v>
      </c>
      <c r="AJ1802" s="731">
        <v>93.05</v>
      </c>
    </row>
    <row r="1803" spans="35:36" ht="15" x14ac:dyDescent="0.2">
      <c r="AI1803" s="730">
        <v>0.82010000000002004</v>
      </c>
      <c r="AJ1803" s="731">
        <v>93.08</v>
      </c>
    </row>
    <row r="1804" spans="35:36" ht="15" x14ac:dyDescent="0.2">
      <c r="AI1804" s="730">
        <v>0.82000000000002005</v>
      </c>
      <c r="AJ1804" s="731">
        <v>93.1</v>
      </c>
    </row>
    <row r="1805" spans="35:36" ht="15" x14ac:dyDescent="0.2">
      <c r="AI1805" s="730">
        <v>0.81990000000001995</v>
      </c>
      <c r="AJ1805" s="731">
        <v>93.13</v>
      </c>
    </row>
    <row r="1806" spans="35:36" ht="15" x14ac:dyDescent="0.2">
      <c r="AI1806" s="730">
        <v>0.81980000000001996</v>
      </c>
      <c r="AJ1806" s="731">
        <v>93.16</v>
      </c>
    </row>
    <row r="1807" spans="35:36" ht="15" x14ac:dyDescent="0.2">
      <c r="AI1807" s="730">
        <v>0.81970000000001997</v>
      </c>
      <c r="AJ1807" s="731">
        <v>93.19</v>
      </c>
    </row>
    <row r="1808" spans="35:36" ht="15" x14ac:dyDescent="0.2">
      <c r="AI1808" s="730">
        <v>0.81960000000001998</v>
      </c>
      <c r="AJ1808" s="731">
        <v>93.21</v>
      </c>
    </row>
    <row r="1809" spans="35:36" ht="15" x14ac:dyDescent="0.2">
      <c r="AI1809" s="730">
        <v>0.81950000000001999</v>
      </c>
      <c r="AJ1809" s="731">
        <v>93.24</v>
      </c>
    </row>
    <row r="1810" spans="35:36" ht="15" x14ac:dyDescent="0.2">
      <c r="AI1810" s="730">
        <v>0.81940000000002</v>
      </c>
      <c r="AJ1810" s="731">
        <v>93.27</v>
      </c>
    </row>
    <row r="1811" spans="35:36" ht="15" x14ac:dyDescent="0.2">
      <c r="AI1811" s="730">
        <v>0.81930000000002001</v>
      </c>
      <c r="AJ1811" s="731">
        <v>93.3</v>
      </c>
    </row>
    <row r="1812" spans="35:36" ht="15" x14ac:dyDescent="0.2">
      <c r="AI1812" s="730">
        <v>0.81920000000002002</v>
      </c>
      <c r="AJ1812" s="731">
        <v>93.32</v>
      </c>
    </row>
    <row r="1813" spans="35:36" ht="15" x14ac:dyDescent="0.2">
      <c r="AI1813" s="730">
        <v>0.81910000000002003</v>
      </c>
      <c r="AJ1813" s="731">
        <v>93.35</v>
      </c>
    </row>
    <row r="1814" spans="35:36" ht="15" x14ac:dyDescent="0.2">
      <c r="AI1814" s="730">
        <v>0.81900000000002005</v>
      </c>
      <c r="AJ1814" s="731">
        <v>93.38</v>
      </c>
    </row>
    <row r="1815" spans="35:36" ht="15" x14ac:dyDescent="0.2">
      <c r="AI1815" s="730">
        <v>0.81890000000001995</v>
      </c>
      <c r="AJ1815" s="731">
        <v>93.41</v>
      </c>
    </row>
    <row r="1816" spans="35:36" ht="15" x14ac:dyDescent="0.2">
      <c r="AI1816" s="730">
        <v>0.81880000000001996</v>
      </c>
      <c r="AJ1816" s="731">
        <v>93.43</v>
      </c>
    </row>
    <row r="1817" spans="35:36" ht="15" x14ac:dyDescent="0.2">
      <c r="AI1817" s="730">
        <v>0.81870000000001997</v>
      </c>
      <c r="AJ1817" s="731">
        <v>93.46</v>
      </c>
    </row>
    <row r="1818" spans="35:36" ht="15" x14ac:dyDescent="0.2">
      <c r="AI1818" s="730">
        <v>0.81860000000001998</v>
      </c>
      <c r="AJ1818" s="731">
        <v>93.49</v>
      </c>
    </row>
    <row r="1819" spans="35:36" ht="15" x14ac:dyDescent="0.2">
      <c r="AI1819" s="730">
        <v>0.81850000000001999</v>
      </c>
      <c r="AJ1819" s="731">
        <v>93.52</v>
      </c>
    </row>
    <row r="1820" spans="35:36" ht="15" x14ac:dyDescent="0.2">
      <c r="AI1820" s="730">
        <v>0.81840000000002</v>
      </c>
      <c r="AJ1820" s="731">
        <v>93.54</v>
      </c>
    </row>
    <row r="1821" spans="35:36" ht="15" x14ac:dyDescent="0.2">
      <c r="AI1821" s="730">
        <v>0.81830000000002001</v>
      </c>
      <c r="AJ1821" s="731">
        <v>93.57</v>
      </c>
    </row>
    <row r="1822" spans="35:36" ht="15" x14ac:dyDescent="0.2">
      <c r="AI1822" s="730">
        <v>0.81820000000002002</v>
      </c>
      <c r="AJ1822" s="731">
        <v>93.6</v>
      </c>
    </row>
    <row r="1823" spans="35:36" ht="15" x14ac:dyDescent="0.2">
      <c r="AI1823" s="730">
        <v>0.81810000000002003</v>
      </c>
      <c r="AJ1823" s="731">
        <v>93.62</v>
      </c>
    </row>
    <row r="1824" spans="35:36" ht="15" x14ac:dyDescent="0.2">
      <c r="AI1824" s="730">
        <v>0.81800000000002004</v>
      </c>
      <c r="AJ1824" s="731">
        <v>93.65</v>
      </c>
    </row>
    <row r="1825" spans="35:36" ht="15" x14ac:dyDescent="0.2">
      <c r="AI1825" s="730">
        <v>0.81790000000002006</v>
      </c>
      <c r="AJ1825" s="731">
        <v>93.68</v>
      </c>
    </row>
    <row r="1826" spans="35:36" ht="15" x14ac:dyDescent="0.2">
      <c r="AI1826" s="730">
        <v>0.81780000000001996</v>
      </c>
      <c r="AJ1826" s="731">
        <v>93.71</v>
      </c>
    </row>
    <row r="1827" spans="35:36" ht="15" x14ac:dyDescent="0.2">
      <c r="AI1827" s="730">
        <v>0.81770000000001997</v>
      </c>
      <c r="AJ1827" s="731">
        <v>93.73</v>
      </c>
    </row>
    <row r="1828" spans="35:36" ht="15" x14ac:dyDescent="0.2">
      <c r="AI1828" s="730">
        <v>0.81760000000001998</v>
      </c>
      <c r="AJ1828" s="731">
        <v>93.76</v>
      </c>
    </row>
    <row r="1829" spans="35:36" ht="15" x14ac:dyDescent="0.2">
      <c r="AI1829" s="730">
        <v>0.81750000000001999</v>
      </c>
      <c r="AJ1829" s="731">
        <v>93.79</v>
      </c>
    </row>
    <row r="1830" spans="35:36" ht="15" x14ac:dyDescent="0.2">
      <c r="AI1830" s="730">
        <v>0.81740000000002</v>
      </c>
      <c r="AJ1830" s="731">
        <v>93.81</v>
      </c>
    </row>
    <row r="1831" spans="35:36" ht="15" x14ac:dyDescent="0.2">
      <c r="AI1831" s="730">
        <v>0.81730000000002001</v>
      </c>
      <c r="AJ1831" s="731">
        <v>93.84</v>
      </c>
    </row>
    <row r="1832" spans="35:36" ht="15" x14ac:dyDescent="0.2">
      <c r="AI1832" s="730">
        <v>0.81720000000002002</v>
      </c>
      <c r="AJ1832" s="731">
        <v>93.87</v>
      </c>
    </row>
    <row r="1833" spans="35:36" ht="15" x14ac:dyDescent="0.2">
      <c r="AI1833" s="730">
        <v>0.81710000000002003</v>
      </c>
      <c r="AJ1833" s="731">
        <v>93.89</v>
      </c>
    </row>
    <row r="1834" spans="35:36" ht="15" x14ac:dyDescent="0.2">
      <c r="AI1834" s="730">
        <v>0.81700000000002004</v>
      </c>
      <c r="AJ1834" s="731">
        <v>93.92</v>
      </c>
    </row>
    <row r="1835" spans="35:36" ht="15" x14ac:dyDescent="0.2">
      <c r="AI1835" s="730">
        <v>0.81690000000002005</v>
      </c>
      <c r="AJ1835" s="731">
        <v>93.95</v>
      </c>
    </row>
    <row r="1836" spans="35:36" ht="15" x14ac:dyDescent="0.2">
      <c r="AI1836" s="730">
        <v>0.81680000000002095</v>
      </c>
      <c r="AJ1836" s="731">
        <v>93.97</v>
      </c>
    </row>
    <row r="1837" spans="35:36" ht="15" x14ac:dyDescent="0.2">
      <c r="AI1837" s="730">
        <v>0.81670000000002096</v>
      </c>
      <c r="AJ1837" s="731">
        <v>94</v>
      </c>
    </row>
    <row r="1838" spans="35:36" ht="15" x14ac:dyDescent="0.2">
      <c r="AI1838" s="730">
        <v>0.81660000000002098</v>
      </c>
      <c r="AJ1838" s="731">
        <v>94.03</v>
      </c>
    </row>
    <row r="1839" spans="35:36" ht="15" x14ac:dyDescent="0.2">
      <c r="AI1839" s="730">
        <v>0.81650000000002099</v>
      </c>
      <c r="AJ1839" s="731">
        <v>94.05</v>
      </c>
    </row>
    <row r="1840" spans="35:36" ht="15" x14ac:dyDescent="0.2">
      <c r="AI1840" s="730">
        <v>0.816400000000021</v>
      </c>
      <c r="AJ1840" s="731">
        <v>94.08</v>
      </c>
    </row>
    <row r="1841" spans="35:36" ht="15" x14ac:dyDescent="0.2">
      <c r="AI1841" s="730">
        <v>0.81630000000002101</v>
      </c>
      <c r="AJ1841" s="731">
        <v>94.11</v>
      </c>
    </row>
    <row r="1842" spans="35:36" ht="15" x14ac:dyDescent="0.2">
      <c r="AI1842" s="730">
        <v>0.81620000000002102</v>
      </c>
      <c r="AJ1842" s="731">
        <v>94.13</v>
      </c>
    </row>
    <row r="1843" spans="35:36" ht="15" x14ac:dyDescent="0.2">
      <c r="AI1843" s="730">
        <v>0.81610000000002103</v>
      </c>
      <c r="AJ1843" s="731">
        <v>94.16</v>
      </c>
    </row>
    <row r="1844" spans="35:36" ht="15" x14ac:dyDescent="0.2">
      <c r="AI1844" s="730">
        <v>0.81600000000002104</v>
      </c>
      <c r="AJ1844" s="731">
        <v>94.19</v>
      </c>
    </row>
    <row r="1845" spans="35:36" ht="15" x14ac:dyDescent="0.2">
      <c r="AI1845" s="730">
        <v>0.81590000000002105</v>
      </c>
      <c r="AJ1845" s="731">
        <v>94.21</v>
      </c>
    </row>
    <row r="1846" spans="35:36" ht="15" x14ac:dyDescent="0.2">
      <c r="AI1846" s="730">
        <v>0.81580000000002095</v>
      </c>
      <c r="AJ1846" s="731">
        <v>94.24</v>
      </c>
    </row>
    <row r="1847" spans="35:36" ht="15" x14ac:dyDescent="0.2">
      <c r="AI1847" s="730">
        <v>0.81570000000002096</v>
      </c>
      <c r="AJ1847" s="731">
        <v>94.27</v>
      </c>
    </row>
    <row r="1848" spans="35:36" ht="15" x14ac:dyDescent="0.2">
      <c r="AI1848" s="730">
        <v>0.81560000000002097</v>
      </c>
      <c r="AJ1848" s="731">
        <v>94.29</v>
      </c>
    </row>
    <row r="1849" spans="35:36" ht="15" x14ac:dyDescent="0.2">
      <c r="AI1849" s="730">
        <v>0.81550000000002099</v>
      </c>
      <c r="AJ1849" s="731">
        <v>94.32</v>
      </c>
    </row>
    <row r="1850" spans="35:36" ht="15" x14ac:dyDescent="0.2">
      <c r="AI1850" s="730">
        <v>0.815400000000021</v>
      </c>
      <c r="AJ1850" s="731">
        <v>94.34</v>
      </c>
    </row>
    <row r="1851" spans="35:36" ht="15" x14ac:dyDescent="0.2">
      <c r="AI1851" s="730">
        <v>0.81530000000002101</v>
      </c>
      <c r="AJ1851" s="731">
        <v>94.37</v>
      </c>
    </row>
    <row r="1852" spans="35:36" ht="15" x14ac:dyDescent="0.2">
      <c r="AI1852" s="730">
        <v>0.81520000000002102</v>
      </c>
      <c r="AJ1852" s="731">
        <v>94.4</v>
      </c>
    </row>
    <row r="1853" spans="35:36" ht="15" x14ac:dyDescent="0.2">
      <c r="AI1853" s="730">
        <v>0.81510000000002103</v>
      </c>
      <c r="AJ1853" s="731">
        <v>94.42</v>
      </c>
    </row>
    <row r="1854" spans="35:36" ht="15" x14ac:dyDescent="0.2">
      <c r="AI1854" s="730">
        <v>0.81500000000002104</v>
      </c>
      <c r="AJ1854" s="731">
        <v>94.45</v>
      </c>
    </row>
    <row r="1855" spans="35:36" ht="15" x14ac:dyDescent="0.2">
      <c r="AI1855" s="730">
        <v>0.81490000000002105</v>
      </c>
      <c r="AJ1855" s="731">
        <v>94.48</v>
      </c>
    </row>
    <row r="1856" spans="35:36" ht="15" x14ac:dyDescent="0.2">
      <c r="AI1856" s="730">
        <v>0.81480000000002095</v>
      </c>
      <c r="AJ1856" s="731">
        <v>94.5</v>
      </c>
    </row>
    <row r="1857" spans="35:36" ht="15" x14ac:dyDescent="0.2">
      <c r="AI1857" s="730">
        <v>0.81470000000002096</v>
      </c>
      <c r="AJ1857" s="731">
        <v>94.53</v>
      </c>
    </row>
    <row r="1858" spans="35:36" ht="15" x14ac:dyDescent="0.2">
      <c r="AI1858" s="730">
        <v>0.81460000000002097</v>
      </c>
      <c r="AJ1858" s="731">
        <v>94.55</v>
      </c>
    </row>
    <row r="1859" spans="35:36" ht="15" x14ac:dyDescent="0.2">
      <c r="AI1859" s="730">
        <v>0.81450000000002098</v>
      </c>
      <c r="AJ1859" s="731">
        <v>94.58</v>
      </c>
    </row>
    <row r="1860" spans="35:36" ht="15" x14ac:dyDescent="0.2">
      <c r="AI1860" s="730">
        <v>0.814400000000021</v>
      </c>
      <c r="AJ1860" s="731">
        <v>94.61</v>
      </c>
    </row>
    <row r="1861" spans="35:36" ht="15" x14ac:dyDescent="0.2">
      <c r="AI1861" s="730">
        <v>0.81430000000002101</v>
      </c>
      <c r="AJ1861" s="731">
        <v>94.63</v>
      </c>
    </row>
    <row r="1862" spans="35:36" ht="15" x14ac:dyDescent="0.2">
      <c r="AI1862" s="730">
        <v>0.81420000000002102</v>
      </c>
      <c r="AJ1862" s="731">
        <v>94.66</v>
      </c>
    </row>
    <row r="1863" spans="35:36" ht="15" x14ac:dyDescent="0.2">
      <c r="AI1863" s="730">
        <v>0.81410000000002103</v>
      </c>
      <c r="AJ1863" s="731">
        <v>94.68</v>
      </c>
    </row>
    <row r="1864" spans="35:36" ht="15" x14ac:dyDescent="0.2">
      <c r="AI1864" s="730">
        <v>0.81400000000002104</v>
      </c>
      <c r="AJ1864" s="731">
        <v>94.71</v>
      </c>
    </row>
    <row r="1865" spans="35:36" ht="15" x14ac:dyDescent="0.2">
      <c r="AI1865" s="730">
        <v>0.81390000000002105</v>
      </c>
      <c r="AJ1865" s="731">
        <v>94.74</v>
      </c>
    </row>
    <row r="1866" spans="35:36" ht="15" x14ac:dyDescent="0.2">
      <c r="AI1866" s="730">
        <v>0.81380000000002095</v>
      </c>
      <c r="AJ1866" s="731">
        <v>94.76</v>
      </c>
    </row>
    <row r="1867" spans="35:36" ht="15" x14ac:dyDescent="0.2">
      <c r="AI1867" s="730">
        <v>0.81370000000002096</v>
      </c>
      <c r="AJ1867" s="731">
        <v>94.79</v>
      </c>
    </row>
    <row r="1868" spans="35:36" ht="15" x14ac:dyDescent="0.2">
      <c r="AI1868" s="730">
        <v>0.81360000000002097</v>
      </c>
      <c r="AJ1868" s="731">
        <v>94.81</v>
      </c>
    </row>
    <row r="1869" spans="35:36" ht="15" x14ac:dyDescent="0.2">
      <c r="AI1869" s="730">
        <v>0.81350000000002098</v>
      </c>
      <c r="AJ1869" s="731">
        <v>94.84</v>
      </c>
    </row>
    <row r="1870" spans="35:36" ht="15" x14ac:dyDescent="0.2">
      <c r="AI1870" s="730">
        <v>0.813400000000021</v>
      </c>
      <c r="AJ1870" s="731">
        <v>94.87</v>
      </c>
    </row>
    <row r="1871" spans="35:36" ht="15" x14ac:dyDescent="0.2">
      <c r="AI1871" s="730">
        <v>0.81330000000002101</v>
      </c>
      <c r="AJ1871" s="731">
        <v>94.89</v>
      </c>
    </row>
    <row r="1872" spans="35:36" ht="15" x14ac:dyDescent="0.2">
      <c r="AI1872" s="730">
        <v>0.81320000000002102</v>
      </c>
      <c r="AJ1872" s="731">
        <v>94.92</v>
      </c>
    </row>
    <row r="1873" spans="35:36" ht="15" x14ac:dyDescent="0.2">
      <c r="AI1873" s="730">
        <v>0.81310000000002103</v>
      </c>
      <c r="AJ1873" s="731">
        <v>94.94</v>
      </c>
    </row>
    <row r="1874" spans="35:36" ht="15" x14ac:dyDescent="0.2">
      <c r="AI1874" s="730">
        <v>0.81300000000002104</v>
      </c>
      <c r="AJ1874" s="731">
        <v>94.97</v>
      </c>
    </row>
    <row r="1875" spans="35:36" ht="15" x14ac:dyDescent="0.2">
      <c r="AI1875" s="730">
        <v>0.81290000000002105</v>
      </c>
      <c r="AJ1875" s="731">
        <v>95</v>
      </c>
    </row>
    <row r="1876" spans="35:36" ht="15" x14ac:dyDescent="0.2">
      <c r="AI1876" s="730">
        <v>0.81280000000002095</v>
      </c>
      <c r="AJ1876" s="731">
        <v>95.02</v>
      </c>
    </row>
    <row r="1877" spans="35:36" ht="15" x14ac:dyDescent="0.2">
      <c r="AI1877" s="730">
        <v>0.81270000000002096</v>
      </c>
      <c r="AJ1877" s="731">
        <v>95.05</v>
      </c>
    </row>
    <row r="1878" spans="35:36" ht="15" x14ac:dyDescent="0.2">
      <c r="AI1878" s="730">
        <v>0.81260000000002097</v>
      </c>
      <c r="AJ1878" s="731">
        <v>95.07</v>
      </c>
    </row>
    <row r="1879" spans="35:36" ht="15" x14ac:dyDescent="0.2">
      <c r="AI1879" s="730">
        <v>0.81250000000002098</v>
      </c>
      <c r="AJ1879" s="731">
        <v>95.1</v>
      </c>
    </row>
    <row r="1880" spans="35:36" ht="15" x14ac:dyDescent="0.2">
      <c r="AI1880" s="730">
        <v>0.81240000000002099</v>
      </c>
      <c r="AJ1880" s="731">
        <v>95.13</v>
      </c>
    </row>
    <row r="1881" spans="35:36" ht="15" x14ac:dyDescent="0.2">
      <c r="AI1881" s="730">
        <v>0.81230000000002101</v>
      </c>
      <c r="AJ1881" s="731">
        <v>95.15</v>
      </c>
    </row>
    <row r="1882" spans="35:36" ht="15" x14ac:dyDescent="0.2">
      <c r="AI1882" s="730">
        <v>0.81220000000002102</v>
      </c>
      <c r="AJ1882" s="731">
        <v>95.18</v>
      </c>
    </row>
    <row r="1883" spans="35:36" ht="15" x14ac:dyDescent="0.2">
      <c r="AI1883" s="730">
        <v>0.81210000000002103</v>
      </c>
      <c r="AJ1883" s="731">
        <v>95.2</v>
      </c>
    </row>
    <row r="1884" spans="35:36" ht="15" x14ac:dyDescent="0.2">
      <c r="AI1884" s="730">
        <v>0.81200000000002104</v>
      </c>
      <c r="AJ1884" s="731">
        <v>95.23</v>
      </c>
    </row>
    <row r="1885" spans="35:36" ht="15" x14ac:dyDescent="0.2">
      <c r="AI1885" s="730">
        <v>0.81190000000002105</v>
      </c>
      <c r="AJ1885" s="731">
        <v>95.25</v>
      </c>
    </row>
    <row r="1886" spans="35:36" ht="15" x14ac:dyDescent="0.2">
      <c r="AI1886" s="730">
        <v>0.81180000000002095</v>
      </c>
      <c r="AJ1886" s="731">
        <v>95.28</v>
      </c>
    </row>
    <row r="1887" spans="35:36" ht="15" x14ac:dyDescent="0.2">
      <c r="AI1887" s="730">
        <v>0.81170000000002096</v>
      </c>
      <c r="AJ1887" s="731">
        <v>95.3</v>
      </c>
    </row>
    <row r="1888" spans="35:36" ht="15" x14ac:dyDescent="0.2">
      <c r="AI1888" s="730">
        <v>0.81160000000002097</v>
      </c>
      <c r="AJ1888" s="731">
        <v>95.33</v>
      </c>
    </row>
    <row r="1889" spans="35:36" ht="15" x14ac:dyDescent="0.2">
      <c r="AI1889" s="730">
        <v>0.81150000000002098</v>
      </c>
      <c r="AJ1889" s="731">
        <v>95.35</v>
      </c>
    </row>
    <row r="1890" spans="35:36" ht="15" x14ac:dyDescent="0.2">
      <c r="AI1890" s="730">
        <v>0.81140000000002099</v>
      </c>
      <c r="AJ1890" s="731">
        <v>95.38</v>
      </c>
    </row>
    <row r="1891" spans="35:36" ht="15" x14ac:dyDescent="0.2">
      <c r="AI1891" s="730">
        <v>0.811300000000021</v>
      </c>
      <c r="AJ1891" s="731">
        <v>95.41</v>
      </c>
    </row>
    <row r="1892" spans="35:36" ht="15" x14ac:dyDescent="0.2">
      <c r="AI1892" s="730">
        <v>0.81120000000002102</v>
      </c>
      <c r="AJ1892" s="731">
        <v>95.43</v>
      </c>
    </row>
    <row r="1893" spans="35:36" ht="15" x14ac:dyDescent="0.2">
      <c r="AI1893" s="730">
        <v>0.81110000000002103</v>
      </c>
      <c r="AJ1893" s="731">
        <v>95.46</v>
      </c>
    </row>
    <row r="1894" spans="35:36" ht="15" x14ac:dyDescent="0.2">
      <c r="AI1894" s="730">
        <v>0.81100000000002104</v>
      </c>
      <c r="AJ1894" s="731">
        <v>95.48</v>
      </c>
    </row>
    <row r="1895" spans="35:36" ht="15" x14ac:dyDescent="0.2">
      <c r="AI1895" s="730">
        <v>0.81090000000002105</v>
      </c>
      <c r="AJ1895" s="731">
        <v>95.51</v>
      </c>
    </row>
    <row r="1896" spans="35:36" ht="15" x14ac:dyDescent="0.2">
      <c r="AI1896" s="730">
        <v>0.81080000000002095</v>
      </c>
      <c r="AJ1896" s="731">
        <v>95.53</v>
      </c>
    </row>
    <row r="1897" spans="35:36" ht="15" x14ac:dyDescent="0.2">
      <c r="AI1897" s="730">
        <v>0.81070000000002096</v>
      </c>
      <c r="AJ1897" s="731">
        <v>95.56</v>
      </c>
    </row>
    <row r="1898" spans="35:36" ht="15" x14ac:dyDescent="0.2">
      <c r="AI1898" s="730">
        <v>0.81060000000002097</v>
      </c>
      <c r="AJ1898" s="731">
        <v>95.58</v>
      </c>
    </row>
    <row r="1899" spans="35:36" ht="15" x14ac:dyDescent="0.2">
      <c r="AI1899" s="730">
        <v>0.81050000000002098</v>
      </c>
      <c r="AJ1899" s="731">
        <v>95.61</v>
      </c>
    </row>
    <row r="1900" spans="35:36" ht="15" x14ac:dyDescent="0.2">
      <c r="AI1900" s="730">
        <v>0.81040000000002099</v>
      </c>
      <c r="AJ1900" s="731">
        <v>95.63</v>
      </c>
    </row>
    <row r="1901" spans="35:36" ht="15" x14ac:dyDescent="0.2">
      <c r="AI1901" s="730">
        <v>0.810300000000021</v>
      </c>
      <c r="AJ1901" s="731">
        <v>95.66</v>
      </c>
    </row>
    <row r="1902" spans="35:36" ht="15" x14ac:dyDescent="0.2">
      <c r="AI1902" s="730">
        <v>0.81020000000002101</v>
      </c>
      <c r="AJ1902" s="731">
        <v>95.68</v>
      </c>
    </row>
    <row r="1903" spans="35:36" ht="15" x14ac:dyDescent="0.2">
      <c r="AI1903" s="730">
        <v>0.81010000000002103</v>
      </c>
      <c r="AJ1903" s="731">
        <v>95.71</v>
      </c>
    </row>
    <row r="1904" spans="35:36" ht="15" x14ac:dyDescent="0.2">
      <c r="AI1904" s="730">
        <v>0.81000000000002104</v>
      </c>
      <c r="AJ1904" s="731">
        <v>95.73</v>
      </c>
    </row>
    <row r="1905" spans="35:36" ht="15" x14ac:dyDescent="0.2">
      <c r="AI1905" s="730">
        <v>0.80990000000002105</v>
      </c>
      <c r="AJ1905" s="731">
        <v>95.76</v>
      </c>
    </row>
    <row r="1906" spans="35:36" ht="15" x14ac:dyDescent="0.2">
      <c r="AI1906" s="730">
        <v>0.80980000000002095</v>
      </c>
      <c r="AJ1906" s="731">
        <v>95.78</v>
      </c>
    </row>
    <row r="1907" spans="35:36" ht="15" x14ac:dyDescent="0.2">
      <c r="AI1907" s="730">
        <v>0.80970000000002096</v>
      </c>
      <c r="AJ1907" s="731">
        <v>95.81</v>
      </c>
    </row>
    <row r="1908" spans="35:36" ht="15" x14ac:dyDescent="0.2">
      <c r="AI1908" s="730">
        <v>0.80960000000002097</v>
      </c>
      <c r="AJ1908" s="731">
        <v>95.83</v>
      </c>
    </row>
    <row r="1909" spans="35:36" ht="15" x14ac:dyDescent="0.2">
      <c r="AI1909" s="730">
        <v>0.80950000000002098</v>
      </c>
      <c r="AJ1909" s="731">
        <v>95.86</v>
      </c>
    </row>
    <row r="1910" spans="35:36" ht="15" x14ac:dyDescent="0.2">
      <c r="AI1910" s="730">
        <v>0.80940000000002099</v>
      </c>
      <c r="AJ1910" s="731">
        <v>95.88</v>
      </c>
    </row>
    <row r="1911" spans="35:36" ht="15" x14ac:dyDescent="0.2">
      <c r="AI1911" s="730">
        <v>0.809300000000021</v>
      </c>
      <c r="AJ1911" s="731">
        <v>95.91</v>
      </c>
    </row>
    <row r="1912" spans="35:36" ht="15" x14ac:dyDescent="0.2">
      <c r="AI1912" s="730">
        <v>0.80920000000002101</v>
      </c>
      <c r="AJ1912" s="731">
        <v>95.93</v>
      </c>
    </row>
    <row r="1913" spans="35:36" ht="15" x14ac:dyDescent="0.2">
      <c r="AI1913" s="730">
        <v>0.80910000000002102</v>
      </c>
      <c r="AJ1913" s="731">
        <v>95.96</v>
      </c>
    </row>
    <row r="1914" spans="35:36" ht="15" x14ac:dyDescent="0.2">
      <c r="AI1914" s="730">
        <v>0.80900000000002104</v>
      </c>
      <c r="AJ1914" s="731">
        <v>95.98</v>
      </c>
    </row>
    <row r="1915" spans="35:36" ht="15" x14ac:dyDescent="0.2">
      <c r="AI1915" s="730">
        <v>0.80890000000002105</v>
      </c>
      <c r="AJ1915" s="731">
        <v>96.01</v>
      </c>
    </row>
    <row r="1916" spans="35:36" ht="15" x14ac:dyDescent="0.2">
      <c r="AI1916" s="730">
        <v>0.80880000000002095</v>
      </c>
      <c r="AJ1916" s="731">
        <v>96.03</v>
      </c>
    </row>
    <row r="1917" spans="35:36" ht="15" x14ac:dyDescent="0.2">
      <c r="AI1917" s="730">
        <v>0.80870000000002096</v>
      </c>
      <c r="AJ1917" s="731">
        <v>96.05</v>
      </c>
    </row>
    <row r="1918" spans="35:36" ht="15" x14ac:dyDescent="0.2">
      <c r="AI1918" s="730">
        <v>0.80860000000002097</v>
      </c>
      <c r="AJ1918" s="731">
        <v>96.08</v>
      </c>
    </row>
    <row r="1919" spans="35:36" ht="15" x14ac:dyDescent="0.2">
      <c r="AI1919" s="730">
        <v>0.80850000000002098</v>
      </c>
      <c r="AJ1919" s="731">
        <v>96.1</v>
      </c>
    </row>
    <row r="1920" spans="35:36" ht="15" x14ac:dyDescent="0.2">
      <c r="AI1920" s="730">
        <v>0.80840000000002099</v>
      </c>
      <c r="AJ1920" s="731">
        <v>96.13</v>
      </c>
    </row>
    <row r="1921" spans="35:36" ht="15" x14ac:dyDescent="0.2">
      <c r="AI1921" s="730">
        <v>0.808300000000021</v>
      </c>
      <c r="AJ1921" s="731">
        <v>96.15</v>
      </c>
    </row>
    <row r="1922" spans="35:36" ht="15" x14ac:dyDescent="0.2">
      <c r="AI1922" s="730">
        <v>0.80820000000002101</v>
      </c>
      <c r="AJ1922" s="731">
        <v>96.18</v>
      </c>
    </row>
    <row r="1923" spans="35:36" ht="15" x14ac:dyDescent="0.2">
      <c r="AI1923" s="730">
        <v>0.80810000000002102</v>
      </c>
      <c r="AJ1923" s="731">
        <v>96.2</v>
      </c>
    </row>
    <row r="1924" spans="35:36" ht="15" x14ac:dyDescent="0.2">
      <c r="AI1924" s="730">
        <v>0.80800000000002103</v>
      </c>
      <c r="AJ1924" s="731">
        <v>96.23</v>
      </c>
    </row>
    <row r="1925" spans="35:36" ht="15" x14ac:dyDescent="0.2">
      <c r="AI1925" s="730">
        <v>0.80790000000002105</v>
      </c>
      <c r="AJ1925" s="731">
        <v>96.25</v>
      </c>
    </row>
    <row r="1926" spans="35:36" ht="15" x14ac:dyDescent="0.2">
      <c r="AI1926" s="730">
        <v>0.80780000000002194</v>
      </c>
      <c r="AJ1926" s="731">
        <v>96.28</v>
      </c>
    </row>
    <row r="1927" spans="35:36" ht="15" x14ac:dyDescent="0.2">
      <c r="AI1927" s="730">
        <v>0.80770000000002196</v>
      </c>
      <c r="AJ1927" s="731">
        <v>96.3</v>
      </c>
    </row>
    <row r="1928" spans="35:36" ht="15" x14ac:dyDescent="0.2">
      <c r="AI1928" s="730">
        <v>0.80760000000002197</v>
      </c>
      <c r="AJ1928" s="731">
        <v>96.33</v>
      </c>
    </row>
    <row r="1929" spans="35:36" ht="15" x14ac:dyDescent="0.2">
      <c r="AI1929" s="730">
        <v>0.80750000000002198</v>
      </c>
      <c r="AJ1929" s="731">
        <v>96.35</v>
      </c>
    </row>
    <row r="1930" spans="35:36" ht="15" x14ac:dyDescent="0.2">
      <c r="AI1930" s="730">
        <v>0.80740000000002199</v>
      </c>
      <c r="AJ1930" s="731">
        <v>96.37</v>
      </c>
    </row>
    <row r="1931" spans="35:36" ht="15" x14ac:dyDescent="0.2">
      <c r="AI1931" s="730">
        <v>0.807300000000022</v>
      </c>
      <c r="AJ1931" s="731">
        <v>96.4</v>
      </c>
    </row>
    <row r="1932" spans="35:36" ht="15" x14ac:dyDescent="0.2">
      <c r="AI1932" s="730">
        <v>0.80720000000002201</v>
      </c>
      <c r="AJ1932" s="731">
        <v>96.42</v>
      </c>
    </row>
    <row r="1933" spans="35:36" ht="15" x14ac:dyDescent="0.2">
      <c r="AI1933" s="730">
        <v>0.80710000000002202</v>
      </c>
      <c r="AJ1933" s="731">
        <v>96.45</v>
      </c>
    </row>
    <row r="1934" spans="35:36" ht="15" x14ac:dyDescent="0.2">
      <c r="AI1934" s="730">
        <v>0.80700000000002203</v>
      </c>
      <c r="AJ1934" s="731">
        <v>96.47</v>
      </c>
    </row>
    <row r="1935" spans="35:36" ht="15" x14ac:dyDescent="0.2">
      <c r="AI1935" s="730">
        <v>0.80690000000002204</v>
      </c>
      <c r="AJ1935" s="731">
        <v>96.5</v>
      </c>
    </row>
    <row r="1936" spans="35:36" ht="15" x14ac:dyDescent="0.2">
      <c r="AI1936" s="730">
        <v>0.80680000000002206</v>
      </c>
      <c r="AJ1936" s="731">
        <v>96.52</v>
      </c>
    </row>
    <row r="1937" spans="35:36" ht="15" x14ac:dyDescent="0.2">
      <c r="AI1937" s="730">
        <v>0.80670000000002196</v>
      </c>
      <c r="AJ1937" s="731">
        <v>96.54</v>
      </c>
    </row>
    <row r="1938" spans="35:36" ht="15" x14ac:dyDescent="0.2">
      <c r="AI1938" s="730">
        <v>0.80660000000002197</v>
      </c>
      <c r="AJ1938" s="731">
        <v>96.57</v>
      </c>
    </row>
    <row r="1939" spans="35:36" ht="15" x14ac:dyDescent="0.2">
      <c r="AI1939" s="730">
        <v>0.80650000000002198</v>
      </c>
      <c r="AJ1939" s="731">
        <v>96.59</v>
      </c>
    </row>
    <row r="1940" spans="35:36" ht="15" x14ac:dyDescent="0.2">
      <c r="AI1940" s="730">
        <v>0.80640000000002199</v>
      </c>
      <c r="AJ1940" s="731">
        <v>96.62</v>
      </c>
    </row>
    <row r="1941" spans="35:36" ht="15" x14ac:dyDescent="0.2">
      <c r="AI1941" s="730">
        <v>0.806300000000022</v>
      </c>
      <c r="AJ1941" s="731">
        <v>96.64</v>
      </c>
    </row>
    <row r="1942" spans="35:36" ht="15" x14ac:dyDescent="0.2">
      <c r="AI1942" s="730">
        <v>0.80620000000002201</v>
      </c>
      <c r="AJ1942" s="731">
        <v>96.67</v>
      </c>
    </row>
    <row r="1943" spans="35:36" ht="15" x14ac:dyDescent="0.2">
      <c r="AI1943" s="730">
        <v>0.80610000000002202</v>
      </c>
      <c r="AJ1943" s="731">
        <v>96.69</v>
      </c>
    </row>
    <row r="1944" spans="35:36" ht="15" x14ac:dyDescent="0.2">
      <c r="AI1944" s="730">
        <v>0.80600000000002203</v>
      </c>
      <c r="AJ1944" s="731">
        <v>96.71</v>
      </c>
    </row>
    <row r="1945" spans="35:36" ht="15" x14ac:dyDescent="0.2">
      <c r="AI1945" s="730">
        <v>0.80590000000002204</v>
      </c>
      <c r="AJ1945" s="731">
        <v>96.74</v>
      </c>
    </row>
    <row r="1946" spans="35:36" ht="15" x14ac:dyDescent="0.2">
      <c r="AI1946" s="730">
        <v>0.80580000000002205</v>
      </c>
      <c r="AJ1946" s="731">
        <v>96.76</v>
      </c>
    </row>
    <row r="1947" spans="35:36" ht="15" x14ac:dyDescent="0.2">
      <c r="AI1947" s="730">
        <v>0.80570000000002195</v>
      </c>
      <c r="AJ1947" s="731">
        <v>96.79</v>
      </c>
    </row>
    <row r="1948" spans="35:36" ht="15" x14ac:dyDescent="0.2">
      <c r="AI1948" s="730">
        <v>0.80560000000002197</v>
      </c>
      <c r="AJ1948" s="731">
        <v>96.81</v>
      </c>
    </row>
    <row r="1949" spans="35:36" ht="15" x14ac:dyDescent="0.2">
      <c r="AI1949" s="730">
        <v>0.80550000000002198</v>
      </c>
      <c r="AJ1949" s="731">
        <v>96.83</v>
      </c>
    </row>
    <row r="1950" spans="35:36" ht="15" x14ac:dyDescent="0.2">
      <c r="AI1950" s="730">
        <v>0.80540000000002199</v>
      </c>
      <c r="AJ1950" s="731">
        <v>96.86</v>
      </c>
    </row>
    <row r="1951" spans="35:36" ht="15" x14ac:dyDescent="0.2">
      <c r="AI1951" s="730">
        <v>0.805300000000022</v>
      </c>
      <c r="AJ1951" s="731">
        <v>96.88</v>
      </c>
    </row>
    <row r="1952" spans="35:36" ht="15" x14ac:dyDescent="0.2">
      <c r="AI1952" s="730">
        <v>0.80520000000002201</v>
      </c>
      <c r="AJ1952" s="731">
        <v>96.9</v>
      </c>
    </row>
    <row r="1953" spans="35:36" ht="15" x14ac:dyDescent="0.2">
      <c r="AI1953" s="730">
        <v>0.80510000000002202</v>
      </c>
      <c r="AJ1953" s="731">
        <v>96.93</v>
      </c>
    </row>
    <row r="1954" spans="35:36" ht="15" x14ac:dyDescent="0.2">
      <c r="AI1954" s="730">
        <v>0.80500000000002203</v>
      </c>
      <c r="AJ1954" s="731">
        <v>96.95</v>
      </c>
    </row>
    <row r="1955" spans="35:36" ht="15" x14ac:dyDescent="0.2">
      <c r="AI1955" s="730">
        <v>0.80490000000002204</v>
      </c>
      <c r="AJ1955" s="731">
        <v>96.98</v>
      </c>
    </row>
    <row r="1956" spans="35:36" ht="15" x14ac:dyDescent="0.2">
      <c r="AI1956" s="730">
        <v>0.80480000000002205</v>
      </c>
      <c r="AJ1956" s="731">
        <v>97</v>
      </c>
    </row>
    <row r="1957" spans="35:36" ht="15" x14ac:dyDescent="0.2">
      <c r="AI1957" s="730">
        <v>0.80470000000002195</v>
      </c>
      <c r="AJ1957" s="731">
        <v>97.02</v>
      </c>
    </row>
    <row r="1958" spans="35:36" ht="15" x14ac:dyDescent="0.2">
      <c r="AI1958" s="730">
        <v>0.80460000000002196</v>
      </c>
      <c r="AJ1958" s="731">
        <v>97.05</v>
      </c>
    </row>
    <row r="1959" spans="35:36" ht="15" x14ac:dyDescent="0.2">
      <c r="AI1959" s="730">
        <v>0.80450000000002198</v>
      </c>
      <c r="AJ1959" s="731">
        <v>97.07</v>
      </c>
    </row>
    <row r="1960" spans="35:36" ht="15" x14ac:dyDescent="0.2">
      <c r="AI1960" s="730">
        <v>0.80440000000002199</v>
      </c>
      <c r="AJ1960" s="731">
        <v>97.09</v>
      </c>
    </row>
    <row r="1961" spans="35:36" ht="15" x14ac:dyDescent="0.2">
      <c r="AI1961" s="730">
        <v>0.804300000000022</v>
      </c>
      <c r="AJ1961" s="731">
        <v>97.12</v>
      </c>
    </row>
    <row r="1962" spans="35:36" ht="15" x14ac:dyDescent="0.2">
      <c r="AI1962" s="730">
        <v>0.80420000000002201</v>
      </c>
      <c r="AJ1962" s="731">
        <v>97.14</v>
      </c>
    </row>
    <row r="1963" spans="35:36" ht="15" x14ac:dyDescent="0.2">
      <c r="AI1963" s="730">
        <v>0.80410000000002202</v>
      </c>
      <c r="AJ1963" s="731">
        <v>97.16</v>
      </c>
    </row>
    <row r="1964" spans="35:36" ht="15" x14ac:dyDescent="0.2">
      <c r="AI1964" s="730">
        <v>0.80400000000002203</v>
      </c>
      <c r="AJ1964" s="731">
        <v>97.19</v>
      </c>
    </row>
    <row r="1965" spans="35:36" ht="15" x14ac:dyDescent="0.2">
      <c r="AI1965" s="730">
        <v>0.80390000000002204</v>
      </c>
      <c r="AJ1965" s="731">
        <v>97.21</v>
      </c>
    </row>
    <row r="1966" spans="35:36" ht="15" x14ac:dyDescent="0.2">
      <c r="AI1966" s="730">
        <v>0.80380000000002205</v>
      </c>
      <c r="AJ1966" s="731">
        <v>97.23</v>
      </c>
    </row>
    <row r="1967" spans="35:36" ht="15" x14ac:dyDescent="0.2">
      <c r="AI1967" s="730">
        <v>0.80370000000002195</v>
      </c>
      <c r="AJ1967" s="731">
        <v>97.26</v>
      </c>
    </row>
    <row r="1968" spans="35:36" ht="15" x14ac:dyDescent="0.2">
      <c r="AI1968" s="730">
        <v>0.80360000000002196</v>
      </c>
      <c r="AJ1968" s="731">
        <v>97.28</v>
      </c>
    </row>
    <row r="1969" spans="35:36" ht="15" x14ac:dyDescent="0.2">
      <c r="AI1969" s="730">
        <v>0.80350000000002197</v>
      </c>
      <c r="AJ1969" s="731">
        <v>97.3</v>
      </c>
    </row>
    <row r="1970" spans="35:36" ht="15" x14ac:dyDescent="0.2">
      <c r="AI1970" s="730">
        <v>0.80340000000002199</v>
      </c>
      <c r="AJ1970" s="731">
        <v>97.33</v>
      </c>
    </row>
    <row r="1971" spans="35:36" ht="15" x14ac:dyDescent="0.2">
      <c r="AI1971" s="730">
        <v>0.803300000000022</v>
      </c>
      <c r="AJ1971" s="731">
        <v>97.35</v>
      </c>
    </row>
    <row r="1972" spans="35:36" ht="15" x14ac:dyDescent="0.2">
      <c r="AI1972" s="730">
        <v>0.80320000000002201</v>
      </c>
      <c r="AJ1972" s="731">
        <v>97.37</v>
      </c>
    </row>
    <row r="1973" spans="35:36" ht="15" x14ac:dyDescent="0.2">
      <c r="AI1973" s="730">
        <v>0.80310000000002202</v>
      </c>
      <c r="AJ1973" s="731">
        <v>97.4</v>
      </c>
    </row>
    <row r="1974" spans="35:36" ht="15" x14ac:dyDescent="0.2">
      <c r="AI1974" s="730">
        <v>0.80300000000002203</v>
      </c>
      <c r="AJ1974" s="731">
        <v>97.42</v>
      </c>
    </row>
    <row r="1975" spans="35:36" ht="15" x14ac:dyDescent="0.2">
      <c r="AI1975" s="730">
        <v>0.80290000000002204</v>
      </c>
      <c r="AJ1975" s="731">
        <v>97.44</v>
      </c>
    </row>
    <row r="1976" spans="35:36" ht="15" x14ac:dyDescent="0.2">
      <c r="AI1976" s="730">
        <v>0.80280000000002205</v>
      </c>
      <c r="AJ1976" s="731">
        <v>97.46</v>
      </c>
    </row>
    <row r="1977" spans="35:36" ht="15" x14ac:dyDescent="0.2">
      <c r="AI1977" s="730">
        <v>0.80270000000002195</v>
      </c>
      <c r="AJ1977" s="731">
        <v>97.49</v>
      </c>
    </row>
    <row r="1978" spans="35:36" ht="15" x14ac:dyDescent="0.2">
      <c r="AI1978" s="730">
        <v>0.80260000000002196</v>
      </c>
      <c r="AJ1978" s="731">
        <v>97.51</v>
      </c>
    </row>
    <row r="1979" spans="35:36" ht="15" x14ac:dyDescent="0.2">
      <c r="AI1979" s="730">
        <v>0.80250000000002197</v>
      </c>
      <c r="AJ1979" s="731">
        <v>97.53</v>
      </c>
    </row>
    <row r="1980" spans="35:36" ht="15" x14ac:dyDescent="0.2">
      <c r="AI1980" s="730">
        <v>0.80240000000002198</v>
      </c>
      <c r="AJ1980" s="731">
        <v>97.56</v>
      </c>
    </row>
    <row r="1981" spans="35:36" ht="15" x14ac:dyDescent="0.2">
      <c r="AI1981" s="730">
        <v>0.802300000000022</v>
      </c>
      <c r="AJ1981" s="731">
        <v>97.58</v>
      </c>
    </row>
    <row r="1982" spans="35:36" ht="15" x14ac:dyDescent="0.2">
      <c r="AI1982" s="730">
        <v>0.80220000000002201</v>
      </c>
      <c r="AJ1982" s="731">
        <v>97.6</v>
      </c>
    </row>
    <row r="1983" spans="35:36" ht="15" x14ac:dyDescent="0.2">
      <c r="AI1983" s="730">
        <v>0.80210000000002202</v>
      </c>
      <c r="AJ1983" s="731">
        <v>97.62</v>
      </c>
    </row>
    <row r="1984" spans="35:36" ht="15" x14ac:dyDescent="0.2">
      <c r="AI1984" s="730">
        <v>0.80200000000002203</v>
      </c>
      <c r="AJ1984" s="731">
        <v>97.65</v>
      </c>
    </row>
    <row r="1985" spans="35:36" ht="15" x14ac:dyDescent="0.2">
      <c r="AI1985" s="730">
        <v>0.80190000000002204</v>
      </c>
      <c r="AJ1985" s="731">
        <v>97.67</v>
      </c>
    </row>
    <row r="1986" spans="35:36" ht="15" x14ac:dyDescent="0.2">
      <c r="AI1986" s="730">
        <v>0.80180000000002205</v>
      </c>
      <c r="AJ1986" s="731">
        <v>97.69</v>
      </c>
    </row>
    <row r="1987" spans="35:36" ht="15" x14ac:dyDescent="0.2">
      <c r="AI1987" s="730">
        <v>0.80170000000002195</v>
      </c>
      <c r="AJ1987" s="731">
        <v>97.71</v>
      </c>
    </row>
    <row r="1988" spans="35:36" ht="15" x14ac:dyDescent="0.2">
      <c r="AI1988" s="730">
        <v>0.80160000000002196</v>
      </c>
      <c r="AJ1988" s="731">
        <v>97.74</v>
      </c>
    </row>
    <row r="1989" spans="35:36" ht="15" x14ac:dyDescent="0.2">
      <c r="AI1989" s="730">
        <v>0.80150000000002197</v>
      </c>
      <c r="AJ1989" s="731">
        <v>97.76</v>
      </c>
    </row>
    <row r="1990" spans="35:36" ht="15" x14ac:dyDescent="0.2">
      <c r="AI1990" s="730">
        <v>0.80140000000002198</v>
      </c>
      <c r="AJ1990" s="731">
        <v>97.78</v>
      </c>
    </row>
    <row r="1991" spans="35:36" ht="15" x14ac:dyDescent="0.2">
      <c r="AI1991" s="730">
        <v>0.80130000000002199</v>
      </c>
      <c r="AJ1991" s="731">
        <v>97.81</v>
      </c>
    </row>
    <row r="1992" spans="35:36" ht="15" x14ac:dyDescent="0.2">
      <c r="AI1992" s="730">
        <v>0.80120000000002201</v>
      </c>
      <c r="AJ1992" s="731">
        <v>97.83</v>
      </c>
    </row>
    <row r="1993" spans="35:36" ht="15" x14ac:dyDescent="0.2">
      <c r="AI1993" s="730">
        <v>0.80110000000002202</v>
      </c>
      <c r="AJ1993" s="731">
        <v>97.85</v>
      </c>
    </row>
    <row r="1994" spans="35:36" ht="15" x14ac:dyDescent="0.2">
      <c r="AI1994" s="730">
        <v>0.80100000000002203</v>
      </c>
      <c r="AJ1994" s="731">
        <v>97.87</v>
      </c>
    </row>
    <row r="1995" spans="35:36" ht="15" x14ac:dyDescent="0.2">
      <c r="AI1995" s="730">
        <v>0.80090000000002204</v>
      </c>
      <c r="AJ1995" s="731">
        <v>97.89</v>
      </c>
    </row>
    <row r="1996" spans="35:36" ht="15" x14ac:dyDescent="0.2">
      <c r="AI1996" s="730">
        <v>0.80080000000002205</v>
      </c>
      <c r="AJ1996" s="731">
        <v>97.92</v>
      </c>
    </row>
    <row r="1997" spans="35:36" ht="15" x14ac:dyDescent="0.2">
      <c r="AI1997" s="730">
        <v>0.80070000000002195</v>
      </c>
      <c r="AJ1997" s="731">
        <v>97.94</v>
      </c>
    </row>
    <row r="1998" spans="35:36" ht="15" x14ac:dyDescent="0.2">
      <c r="AI1998" s="730">
        <v>0.80060000000002196</v>
      </c>
      <c r="AJ1998" s="731">
        <v>97.96</v>
      </c>
    </row>
    <row r="1999" spans="35:36" ht="15" x14ac:dyDescent="0.2">
      <c r="AI1999" s="730">
        <v>0.80050000000002197</v>
      </c>
      <c r="AJ1999" s="731">
        <v>97.98</v>
      </c>
    </row>
    <row r="2000" spans="35:36" ht="15" x14ac:dyDescent="0.2">
      <c r="AI2000" s="730">
        <v>0.80040000000002198</v>
      </c>
      <c r="AJ2000" s="731">
        <v>98.01</v>
      </c>
    </row>
    <row r="2001" spans="35:36" ht="15" x14ac:dyDescent="0.2">
      <c r="AI2001" s="730">
        <v>0.80030000000002199</v>
      </c>
      <c r="AJ2001" s="731">
        <v>98.03</v>
      </c>
    </row>
    <row r="2002" spans="35:36" ht="15" x14ac:dyDescent="0.2">
      <c r="AI2002" s="730">
        <v>0.800200000000022</v>
      </c>
      <c r="AJ2002" s="731">
        <v>98.05</v>
      </c>
    </row>
    <row r="2003" spans="35:36" ht="15" x14ac:dyDescent="0.2">
      <c r="AI2003" s="730">
        <v>0.80010000000002202</v>
      </c>
      <c r="AJ2003" s="731">
        <v>98.07</v>
      </c>
    </row>
    <row r="2004" spans="35:36" ht="15" x14ac:dyDescent="0.2">
      <c r="AI2004" s="730">
        <v>0.80000000000002203</v>
      </c>
      <c r="AJ2004" s="731">
        <v>98.09</v>
      </c>
    </row>
    <row r="2005" spans="35:36" ht="15" x14ac:dyDescent="0.2">
      <c r="AI2005" s="730">
        <v>0.79990000000002204</v>
      </c>
      <c r="AJ2005" s="731">
        <v>98.12</v>
      </c>
    </row>
    <row r="2006" spans="35:36" ht="15" x14ac:dyDescent="0.2">
      <c r="AI2006" s="730">
        <v>0.79980000000002205</v>
      </c>
      <c r="AJ2006" s="731">
        <v>98.14</v>
      </c>
    </row>
    <row r="2007" spans="35:36" ht="15" x14ac:dyDescent="0.2">
      <c r="AI2007" s="730">
        <v>0.79970000000002195</v>
      </c>
      <c r="AJ2007" s="731">
        <v>98.16</v>
      </c>
    </row>
    <row r="2008" spans="35:36" ht="15" x14ac:dyDescent="0.2">
      <c r="AI2008" s="730">
        <v>0.79960000000002196</v>
      </c>
      <c r="AJ2008" s="731">
        <v>98.18</v>
      </c>
    </row>
    <row r="2009" spans="35:36" ht="15" x14ac:dyDescent="0.2">
      <c r="AI2009" s="730">
        <v>0.79950000000002197</v>
      </c>
      <c r="AJ2009" s="731">
        <v>98.2</v>
      </c>
    </row>
    <row r="2010" spans="35:36" ht="15" x14ac:dyDescent="0.2">
      <c r="AI2010" s="730">
        <v>0.79940000000002198</v>
      </c>
      <c r="AJ2010" s="731">
        <v>98.22</v>
      </c>
    </row>
    <row r="2011" spans="35:36" ht="15" x14ac:dyDescent="0.2">
      <c r="AI2011" s="730">
        <v>0.79930000000002199</v>
      </c>
      <c r="AJ2011" s="731">
        <v>98.25</v>
      </c>
    </row>
    <row r="2012" spans="35:36" ht="15" x14ac:dyDescent="0.2">
      <c r="AI2012" s="730">
        <v>0.799200000000022</v>
      </c>
      <c r="AJ2012" s="731">
        <v>98.27</v>
      </c>
    </row>
    <row r="2013" spans="35:36" ht="15" x14ac:dyDescent="0.2">
      <c r="AI2013" s="730">
        <v>0.79910000000002201</v>
      </c>
      <c r="AJ2013" s="731">
        <v>98.29</v>
      </c>
    </row>
    <row r="2014" spans="35:36" ht="15" x14ac:dyDescent="0.2">
      <c r="AI2014" s="730">
        <v>0.79900000000002203</v>
      </c>
      <c r="AJ2014" s="731">
        <v>98.31</v>
      </c>
    </row>
    <row r="2015" spans="35:36" ht="15" x14ac:dyDescent="0.2">
      <c r="AI2015" s="730">
        <v>0.79890000000002204</v>
      </c>
      <c r="AJ2015" s="731">
        <v>98.33</v>
      </c>
    </row>
    <row r="2016" spans="35:36" ht="15" x14ac:dyDescent="0.2">
      <c r="AI2016" s="730">
        <v>0.79880000000002205</v>
      </c>
      <c r="AJ2016" s="731">
        <v>98.35</v>
      </c>
    </row>
    <row r="2017" spans="35:36" ht="15" x14ac:dyDescent="0.2">
      <c r="AI2017" s="730">
        <v>0.79870000000002195</v>
      </c>
      <c r="AJ2017" s="731">
        <v>98.38</v>
      </c>
    </row>
    <row r="2018" spans="35:36" ht="15" x14ac:dyDescent="0.2">
      <c r="AI2018" s="730">
        <v>0.79860000000002296</v>
      </c>
      <c r="AJ2018" s="731">
        <v>98.4</v>
      </c>
    </row>
    <row r="2019" spans="35:36" ht="15" x14ac:dyDescent="0.2">
      <c r="AI2019" s="730">
        <v>0.79850000000002297</v>
      </c>
      <c r="AJ2019" s="731">
        <v>98.42</v>
      </c>
    </row>
    <row r="2020" spans="35:36" ht="15" x14ac:dyDescent="0.2">
      <c r="AI2020" s="730">
        <v>0.79840000000002298</v>
      </c>
      <c r="AJ2020" s="731">
        <v>98.44</v>
      </c>
    </row>
    <row r="2021" spans="35:36" ht="15" x14ac:dyDescent="0.2">
      <c r="AI2021" s="730">
        <v>0.79830000000002299</v>
      </c>
      <c r="AJ2021" s="731">
        <v>98.46</v>
      </c>
    </row>
    <row r="2022" spans="35:36" ht="15" x14ac:dyDescent="0.2">
      <c r="AI2022" s="730">
        <v>0.798200000000023</v>
      </c>
      <c r="AJ2022" s="731">
        <v>98.48</v>
      </c>
    </row>
    <row r="2023" spans="35:36" ht="15" x14ac:dyDescent="0.2">
      <c r="AI2023" s="730">
        <v>0.79810000000002301</v>
      </c>
      <c r="AJ2023" s="731">
        <v>98.5</v>
      </c>
    </row>
    <row r="2024" spans="35:36" ht="15" x14ac:dyDescent="0.2">
      <c r="AI2024" s="730">
        <v>0.79800000000002302</v>
      </c>
      <c r="AJ2024" s="731">
        <v>98.52</v>
      </c>
    </row>
    <row r="2025" spans="35:36" ht="15" x14ac:dyDescent="0.2">
      <c r="AI2025" s="730">
        <v>0.79790000000002304</v>
      </c>
      <c r="AJ2025" s="731">
        <v>98.55</v>
      </c>
    </row>
    <row r="2026" spans="35:36" ht="15" x14ac:dyDescent="0.2">
      <c r="AI2026" s="730">
        <v>0.79780000000002305</v>
      </c>
      <c r="AJ2026" s="731">
        <v>98.57</v>
      </c>
    </row>
    <row r="2027" spans="35:36" ht="15" x14ac:dyDescent="0.2">
      <c r="AI2027" s="730">
        <v>0.79770000000002295</v>
      </c>
      <c r="AJ2027" s="731">
        <v>98.59</v>
      </c>
    </row>
    <row r="2028" spans="35:36" ht="15" x14ac:dyDescent="0.2">
      <c r="AI2028" s="730">
        <v>0.79760000000002296</v>
      </c>
      <c r="AJ2028" s="731">
        <v>98.61</v>
      </c>
    </row>
    <row r="2029" spans="35:36" ht="15" x14ac:dyDescent="0.2">
      <c r="AI2029" s="730">
        <v>0.79750000000002297</v>
      </c>
      <c r="AJ2029" s="731">
        <v>98.63</v>
      </c>
    </row>
    <row r="2030" spans="35:36" ht="15" x14ac:dyDescent="0.2">
      <c r="AI2030" s="730">
        <v>0.79740000000002298</v>
      </c>
      <c r="AJ2030" s="731">
        <v>98.65</v>
      </c>
    </row>
    <row r="2031" spans="35:36" ht="15" x14ac:dyDescent="0.2">
      <c r="AI2031" s="730">
        <v>0.79730000000002299</v>
      </c>
      <c r="AJ2031" s="731">
        <v>98.67</v>
      </c>
    </row>
    <row r="2032" spans="35:36" ht="15" x14ac:dyDescent="0.2">
      <c r="AI2032" s="730">
        <v>0.797200000000023</v>
      </c>
      <c r="AJ2032" s="731">
        <v>98.69</v>
      </c>
    </row>
    <row r="2033" spans="35:36" ht="15" x14ac:dyDescent="0.2">
      <c r="AI2033" s="730">
        <v>0.79710000000002301</v>
      </c>
      <c r="AJ2033" s="731">
        <v>98.71</v>
      </c>
    </row>
    <row r="2034" spans="35:36" ht="15" x14ac:dyDescent="0.2">
      <c r="AI2034" s="730">
        <v>0.79700000000002302</v>
      </c>
      <c r="AJ2034" s="731">
        <v>98.74</v>
      </c>
    </row>
    <row r="2035" spans="35:36" ht="15" x14ac:dyDescent="0.2">
      <c r="AI2035" s="730">
        <v>0.79690000000002303</v>
      </c>
      <c r="AJ2035" s="731">
        <v>98.76</v>
      </c>
    </row>
    <row r="2036" spans="35:36" ht="15" x14ac:dyDescent="0.2">
      <c r="AI2036" s="730">
        <v>0.79680000000002305</v>
      </c>
      <c r="AJ2036" s="731">
        <v>98.78</v>
      </c>
    </row>
    <row r="2037" spans="35:36" ht="15" x14ac:dyDescent="0.2">
      <c r="AI2037" s="730">
        <v>0.79670000000002295</v>
      </c>
      <c r="AJ2037" s="731">
        <v>98.8</v>
      </c>
    </row>
    <row r="2038" spans="35:36" ht="15" x14ac:dyDescent="0.2">
      <c r="AI2038" s="730">
        <v>0.79660000000002296</v>
      </c>
      <c r="AJ2038" s="731">
        <v>98.82</v>
      </c>
    </row>
    <row r="2039" spans="35:36" ht="15" x14ac:dyDescent="0.2">
      <c r="AI2039" s="730">
        <v>0.79650000000002297</v>
      </c>
      <c r="AJ2039" s="731">
        <v>98.84</v>
      </c>
    </row>
    <row r="2040" spans="35:36" ht="15" x14ac:dyDescent="0.2">
      <c r="AI2040" s="730">
        <v>0.79640000000002298</v>
      </c>
      <c r="AJ2040" s="731">
        <v>98.86</v>
      </c>
    </row>
    <row r="2041" spans="35:36" ht="15" x14ac:dyDescent="0.2">
      <c r="AI2041" s="730">
        <v>0.79630000000002299</v>
      </c>
      <c r="AJ2041" s="731">
        <v>98.88</v>
      </c>
    </row>
    <row r="2042" spans="35:36" ht="15" x14ac:dyDescent="0.2">
      <c r="AI2042" s="730">
        <v>0.796200000000023</v>
      </c>
      <c r="AJ2042" s="731">
        <v>98.9</v>
      </c>
    </row>
    <row r="2043" spans="35:36" ht="15" x14ac:dyDescent="0.2">
      <c r="AI2043" s="730">
        <v>0.79610000000002301</v>
      </c>
      <c r="AJ2043" s="731">
        <v>98.92</v>
      </c>
    </row>
    <row r="2044" spans="35:36" ht="15" x14ac:dyDescent="0.2">
      <c r="AI2044" s="730">
        <v>0.79600000000002302</v>
      </c>
      <c r="AJ2044" s="731">
        <v>98.94</v>
      </c>
    </row>
    <row r="2045" spans="35:36" ht="15" x14ac:dyDescent="0.2">
      <c r="AI2045" s="730">
        <v>0.79590000000002303</v>
      </c>
      <c r="AJ2045" s="731">
        <v>98.97</v>
      </c>
    </row>
    <row r="2046" spans="35:36" ht="15" x14ac:dyDescent="0.2">
      <c r="AI2046" s="730">
        <v>0.79580000000002304</v>
      </c>
      <c r="AJ2046" s="731">
        <v>98.99</v>
      </c>
    </row>
    <row r="2047" spans="35:36" ht="15" x14ac:dyDescent="0.2">
      <c r="AI2047" s="730">
        <v>0.79570000000002294</v>
      </c>
      <c r="AJ2047" s="731">
        <v>99.01</v>
      </c>
    </row>
    <row r="2048" spans="35:36" ht="15" x14ac:dyDescent="0.2">
      <c r="AI2048" s="730">
        <v>0.79560000000002296</v>
      </c>
      <c r="AJ2048" s="731">
        <v>99.03</v>
      </c>
    </row>
    <row r="2049" spans="35:36" ht="15" x14ac:dyDescent="0.2">
      <c r="AI2049" s="730">
        <v>0.79550000000002297</v>
      </c>
      <c r="AJ2049" s="731">
        <v>99.05</v>
      </c>
    </row>
    <row r="2050" spans="35:36" ht="15" x14ac:dyDescent="0.2">
      <c r="AI2050" s="730">
        <v>0.79540000000002298</v>
      </c>
      <c r="AJ2050" s="731">
        <v>99.07</v>
      </c>
    </row>
    <row r="2051" spans="35:36" ht="15" x14ac:dyDescent="0.2">
      <c r="AI2051" s="730">
        <v>0.79530000000002299</v>
      </c>
      <c r="AJ2051" s="731">
        <v>99.09</v>
      </c>
    </row>
    <row r="2052" spans="35:36" ht="15" x14ac:dyDescent="0.2">
      <c r="AI2052" s="730">
        <v>0.795200000000023</v>
      </c>
      <c r="AJ2052" s="731">
        <v>99.11</v>
      </c>
    </row>
    <row r="2053" spans="35:36" ht="15" x14ac:dyDescent="0.2">
      <c r="AI2053" s="730">
        <v>0.79510000000002301</v>
      </c>
      <c r="AJ2053" s="731">
        <v>99.13</v>
      </c>
    </row>
    <row r="2054" spans="35:36" ht="15" x14ac:dyDescent="0.2">
      <c r="AI2054" s="730">
        <v>0.79500000000002302</v>
      </c>
      <c r="AJ2054" s="731">
        <v>99.15</v>
      </c>
    </row>
    <row r="2055" spans="35:36" ht="15" x14ac:dyDescent="0.2">
      <c r="AI2055" s="730">
        <v>0.79490000000002303</v>
      </c>
      <c r="AJ2055" s="731">
        <v>99.17</v>
      </c>
    </row>
    <row r="2056" spans="35:36" ht="15" x14ac:dyDescent="0.2">
      <c r="AI2056" s="730">
        <v>0.79480000000002304</v>
      </c>
      <c r="AJ2056" s="731">
        <v>99.19</v>
      </c>
    </row>
    <row r="2057" spans="35:36" ht="15" x14ac:dyDescent="0.2">
      <c r="AI2057" s="730">
        <v>0.79470000000002305</v>
      </c>
      <c r="AJ2057" s="731">
        <v>99.21</v>
      </c>
    </row>
    <row r="2058" spans="35:36" ht="15" x14ac:dyDescent="0.2">
      <c r="AI2058" s="730">
        <v>0.79460000000002295</v>
      </c>
      <c r="AJ2058" s="731">
        <v>99.23</v>
      </c>
    </row>
    <row r="2059" spans="35:36" ht="15" x14ac:dyDescent="0.2">
      <c r="AI2059" s="730">
        <v>0.79450000000002297</v>
      </c>
      <c r="AJ2059" s="731">
        <v>99.25</v>
      </c>
    </row>
    <row r="2060" spans="35:36" ht="15" x14ac:dyDescent="0.2">
      <c r="AI2060" s="730">
        <v>0.79440000000002298</v>
      </c>
      <c r="AJ2060" s="731">
        <v>99.27</v>
      </c>
    </row>
    <row r="2061" spans="35:36" ht="15" x14ac:dyDescent="0.2">
      <c r="AI2061" s="730">
        <v>0.79430000000002299</v>
      </c>
      <c r="AJ2061" s="731">
        <v>99.29</v>
      </c>
    </row>
    <row r="2062" spans="35:36" ht="15" x14ac:dyDescent="0.2">
      <c r="AI2062" s="730">
        <v>0.794200000000023</v>
      </c>
      <c r="AJ2062" s="731">
        <v>99.31</v>
      </c>
    </row>
    <row r="2063" spans="35:36" ht="15" x14ac:dyDescent="0.2">
      <c r="AI2063" s="730">
        <v>0.79410000000002301</v>
      </c>
      <c r="AJ2063" s="731">
        <v>99.33</v>
      </c>
    </row>
    <row r="2064" spans="35:36" ht="15" x14ac:dyDescent="0.2">
      <c r="AI2064" s="730">
        <v>0.79400000000002302</v>
      </c>
      <c r="AJ2064" s="731">
        <v>99.35</v>
      </c>
    </row>
    <row r="2065" spans="35:36" ht="15" x14ac:dyDescent="0.2">
      <c r="AI2065" s="730">
        <v>0.79390000000002303</v>
      </c>
      <c r="AJ2065" s="731">
        <v>99.37</v>
      </c>
    </row>
    <row r="2066" spans="35:36" ht="15" x14ac:dyDescent="0.2">
      <c r="AI2066" s="730">
        <v>0.79380000000002304</v>
      </c>
      <c r="AJ2066" s="731">
        <v>99.39</v>
      </c>
    </row>
    <row r="2067" spans="35:36" ht="15" x14ac:dyDescent="0.2">
      <c r="AI2067" s="730">
        <v>0.79370000000002305</v>
      </c>
      <c r="AJ2067" s="731">
        <v>99.41</v>
      </c>
    </row>
    <row r="2068" spans="35:36" ht="15" x14ac:dyDescent="0.2">
      <c r="AI2068" s="730">
        <v>0.79360000000002295</v>
      </c>
      <c r="AJ2068" s="731">
        <v>99.43</v>
      </c>
    </row>
    <row r="2069" spans="35:36" ht="15" x14ac:dyDescent="0.2">
      <c r="AI2069" s="730">
        <v>0.79350000000002296</v>
      </c>
      <c r="AJ2069" s="731">
        <v>99.45</v>
      </c>
    </row>
    <row r="2070" spans="35:36" ht="15" x14ac:dyDescent="0.2">
      <c r="AI2070" s="730">
        <v>0.79340000000002298</v>
      </c>
      <c r="AJ2070" s="731">
        <v>99.48</v>
      </c>
    </row>
    <row r="2071" spans="35:36" ht="15" x14ac:dyDescent="0.2">
      <c r="AI2071" s="730">
        <v>0.79330000000002299</v>
      </c>
      <c r="AJ2071" s="731">
        <v>99.5</v>
      </c>
    </row>
    <row r="2072" spans="35:36" ht="15" x14ac:dyDescent="0.2">
      <c r="AI2072" s="730">
        <v>0.793200000000023</v>
      </c>
      <c r="AJ2072" s="731">
        <v>99.52</v>
      </c>
    </row>
    <row r="2073" spans="35:36" ht="15" x14ac:dyDescent="0.2">
      <c r="AI2073" s="730">
        <v>0.79310000000002301</v>
      </c>
      <c r="AJ2073" s="731">
        <v>99.54</v>
      </c>
    </row>
    <row r="2074" spans="35:36" ht="15" x14ac:dyDescent="0.2">
      <c r="AI2074" s="730">
        <v>0.79300000000002302</v>
      </c>
      <c r="AJ2074" s="731">
        <v>99.56</v>
      </c>
    </row>
    <row r="2075" spans="35:36" ht="15" x14ac:dyDescent="0.2">
      <c r="AI2075" s="730">
        <v>0.79290000000002303</v>
      </c>
      <c r="AJ2075" s="731">
        <v>99.58</v>
      </c>
    </row>
    <row r="2076" spans="35:36" ht="15" x14ac:dyDescent="0.2">
      <c r="AI2076" s="730">
        <v>0.79280000000002304</v>
      </c>
      <c r="AJ2076" s="731">
        <v>99.59</v>
      </c>
    </row>
    <row r="2077" spans="35:36" ht="15" x14ac:dyDescent="0.2">
      <c r="AI2077" s="730">
        <v>0.79270000000002305</v>
      </c>
      <c r="AJ2077" s="731">
        <v>99.61</v>
      </c>
    </row>
    <row r="2078" spans="35:36" ht="15" x14ac:dyDescent="0.2">
      <c r="AI2078" s="730">
        <v>0.79260000000002295</v>
      </c>
      <c r="AJ2078" s="731">
        <v>99.63</v>
      </c>
    </row>
    <row r="2079" spans="35:36" ht="15" x14ac:dyDescent="0.2">
      <c r="AI2079" s="730">
        <v>0.79250000000002296</v>
      </c>
      <c r="AJ2079" s="731">
        <v>99.65</v>
      </c>
    </row>
    <row r="2080" spans="35:36" ht="15" x14ac:dyDescent="0.2">
      <c r="AI2080" s="730">
        <v>0.79240000000002297</v>
      </c>
      <c r="AJ2080" s="731">
        <v>99.67</v>
      </c>
    </row>
    <row r="2081" spans="35:36" ht="15" x14ac:dyDescent="0.2">
      <c r="AI2081" s="730">
        <v>0.79230000000002299</v>
      </c>
      <c r="AJ2081" s="731">
        <v>99.69</v>
      </c>
    </row>
    <row r="2082" spans="35:36" ht="15" x14ac:dyDescent="0.2">
      <c r="AI2082" s="730">
        <v>0.792200000000023</v>
      </c>
      <c r="AJ2082" s="731">
        <v>99.71</v>
      </c>
    </row>
    <row r="2083" spans="35:36" ht="15" x14ac:dyDescent="0.2">
      <c r="AI2083" s="730">
        <v>0.79210000000002301</v>
      </c>
      <c r="AJ2083" s="731">
        <v>99.73</v>
      </c>
    </row>
    <row r="2084" spans="35:36" ht="15" x14ac:dyDescent="0.2">
      <c r="AI2084" s="730">
        <v>0.79200000000002302</v>
      </c>
      <c r="AJ2084" s="731">
        <v>99.75</v>
      </c>
    </row>
    <row r="2085" spans="35:36" ht="15" x14ac:dyDescent="0.2">
      <c r="AI2085" s="730">
        <v>0.79190000000002303</v>
      </c>
      <c r="AJ2085" s="731">
        <v>99.77</v>
      </c>
    </row>
    <row r="2086" spans="35:36" ht="15" x14ac:dyDescent="0.2">
      <c r="AI2086" s="730">
        <v>0.79180000000002304</v>
      </c>
      <c r="AJ2086" s="731">
        <v>99.79</v>
      </c>
    </row>
    <row r="2087" spans="35:36" ht="15" x14ac:dyDescent="0.2">
      <c r="AI2087" s="730">
        <v>0.79170000000002305</v>
      </c>
      <c r="AJ2087" s="731">
        <v>99.81</v>
      </c>
    </row>
    <row r="2088" spans="35:36" ht="15" x14ac:dyDescent="0.2">
      <c r="AI2088" s="730">
        <v>0.79160000000002295</v>
      </c>
      <c r="AJ2088" s="731">
        <v>99.83</v>
      </c>
    </row>
    <row r="2089" spans="35:36" ht="15" x14ac:dyDescent="0.2">
      <c r="AI2089" s="730">
        <v>0.79150000000002296</v>
      </c>
      <c r="AJ2089" s="731">
        <v>99.85</v>
      </c>
    </row>
    <row r="2090" spans="35:36" ht="15" x14ac:dyDescent="0.2">
      <c r="AI2090" s="730">
        <v>0.79140000000002297</v>
      </c>
      <c r="AJ2090" s="731">
        <v>99.87</v>
      </c>
    </row>
    <row r="2091" spans="35:36" ht="15" x14ac:dyDescent="0.2">
      <c r="AI2091" s="730">
        <v>0.79130000000002298</v>
      </c>
      <c r="AJ2091" s="731">
        <v>99.89</v>
      </c>
    </row>
    <row r="2092" spans="35:36" ht="15" x14ac:dyDescent="0.2">
      <c r="AI2092" s="730">
        <v>0.791200000000023</v>
      </c>
      <c r="AJ2092" s="731">
        <v>99.91</v>
      </c>
    </row>
    <row r="2093" spans="35:36" ht="15" x14ac:dyDescent="0.2">
      <c r="AI2093" s="730">
        <v>0.79110000000002301</v>
      </c>
      <c r="AJ2093" s="731">
        <v>99.93</v>
      </c>
    </row>
    <row r="2094" spans="35:36" ht="15" x14ac:dyDescent="0.2">
      <c r="AI2094" s="730">
        <v>0.79100000000002302</v>
      </c>
      <c r="AJ2094" s="731">
        <v>99.95</v>
      </c>
    </row>
    <row r="2095" spans="35:36" ht="15" x14ac:dyDescent="0.2">
      <c r="AI2095" s="730">
        <v>0.79090000000002303</v>
      </c>
      <c r="AJ2095" s="731">
        <v>99.97</v>
      </c>
    </row>
    <row r="2096" spans="35:36" ht="15" x14ac:dyDescent="0.2">
      <c r="AI2096" s="730">
        <v>0.79080000000002304</v>
      </c>
      <c r="AJ2096" s="731">
        <v>99.99</v>
      </c>
    </row>
    <row r="2097" spans="35:36" ht="15.75" thickBot="1" x14ac:dyDescent="0.25">
      <c r="AI2097" s="733">
        <v>0.79074</v>
      </c>
      <c r="AJ2097" s="734">
        <v>100</v>
      </c>
    </row>
  </sheetData>
  <sheetProtection sheet="1" objects="1" scenarios="1" formatCells="0"/>
  <mergeCells count="180">
    <mergeCell ref="A142:K142"/>
    <mergeCell ref="A143:K143"/>
    <mergeCell ref="A159:K159"/>
    <mergeCell ref="A160:K160"/>
    <mergeCell ref="A150:K150"/>
    <mergeCell ref="A151:K151"/>
    <mergeCell ref="A152:K152"/>
    <mergeCell ref="A153:K153"/>
    <mergeCell ref="A154:K154"/>
    <mergeCell ref="A155:K155"/>
    <mergeCell ref="A144:K144"/>
    <mergeCell ref="A145:K145"/>
    <mergeCell ref="A146:K146"/>
    <mergeCell ref="A147:K147"/>
    <mergeCell ref="A148:K148"/>
    <mergeCell ref="A149:K149"/>
    <mergeCell ref="E131:K131"/>
    <mergeCell ref="E132:K132"/>
    <mergeCell ref="A140:K140"/>
    <mergeCell ref="A141:K141"/>
    <mergeCell ref="E125:K125"/>
    <mergeCell ref="E126:K126"/>
    <mergeCell ref="E127:K127"/>
    <mergeCell ref="E128:K128"/>
    <mergeCell ref="E129:K129"/>
    <mergeCell ref="E130:K130"/>
    <mergeCell ref="E118:K118"/>
    <mergeCell ref="E119:K119"/>
    <mergeCell ref="E120:K120"/>
    <mergeCell ref="E121:K121"/>
    <mergeCell ref="E122:K122"/>
    <mergeCell ref="E123:K123"/>
    <mergeCell ref="E112:K112"/>
    <mergeCell ref="E113:K113"/>
    <mergeCell ref="E114:K114"/>
    <mergeCell ref="E115:K115"/>
    <mergeCell ref="E116:K116"/>
    <mergeCell ref="E117:K117"/>
    <mergeCell ref="H105:I105"/>
    <mergeCell ref="I107:K107"/>
    <mergeCell ref="E108:K108"/>
    <mergeCell ref="E109:K109"/>
    <mergeCell ref="E110:K110"/>
    <mergeCell ref="E111:K111"/>
    <mergeCell ref="H97:I97"/>
    <mergeCell ref="H98:I98"/>
    <mergeCell ref="H100:I100"/>
    <mergeCell ref="H101:I101"/>
    <mergeCell ref="H102:I102"/>
    <mergeCell ref="H104:I104"/>
    <mergeCell ref="E107:G107"/>
    <mergeCell ref="K85:K86"/>
    <mergeCell ref="E86:F86"/>
    <mergeCell ref="E87:F87"/>
    <mergeCell ref="E88:F88"/>
    <mergeCell ref="E89:F89"/>
    <mergeCell ref="H96:I96"/>
    <mergeCell ref="A78:C78"/>
    <mergeCell ref="I79:J79"/>
    <mergeCell ref="F80:G80"/>
    <mergeCell ref="E84:F84"/>
    <mergeCell ref="E85:F85"/>
    <mergeCell ref="G85:G86"/>
    <mergeCell ref="H85:I85"/>
    <mergeCell ref="J85:J86"/>
    <mergeCell ref="I74:K74"/>
    <mergeCell ref="E75:G75"/>
    <mergeCell ref="I75:I76"/>
    <mergeCell ref="J75:J76"/>
    <mergeCell ref="K75:K76"/>
    <mergeCell ref="E76:E77"/>
    <mergeCell ref="F76:F77"/>
    <mergeCell ref="G76:G77"/>
    <mergeCell ref="C70:C71"/>
    <mergeCell ref="E70:G70"/>
    <mergeCell ref="E71:E72"/>
    <mergeCell ref="F71:F72"/>
    <mergeCell ref="G71:G72"/>
    <mergeCell ref="A74:C77"/>
    <mergeCell ref="B64:B65"/>
    <mergeCell ref="B66:B67"/>
    <mergeCell ref="I68:K68"/>
    <mergeCell ref="A69:C69"/>
    <mergeCell ref="E69:G69"/>
    <mergeCell ref="I69:I70"/>
    <mergeCell ref="J69:J70"/>
    <mergeCell ref="K69:K70"/>
    <mergeCell ref="A70:A71"/>
    <mergeCell ref="B70:B71"/>
    <mergeCell ref="S58:Y58"/>
    <mergeCell ref="B60:B61"/>
    <mergeCell ref="S60:Y61"/>
    <mergeCell ref="E61:F62"/>
    <mergeCell ref="H61:K61"/>
    <mergeCell ref="B62:B63"/>
    <mergeCell ref="S62:Y62"/>
    <mergeCell ref="E54:H54"/>
    <mergeCell ref="I54:J54"/>
    <mergeCell ref="N54:O54"/>
    <mergeCell ref="A55:B55"/>
    <mergeCell ref="J56:K56"/>
    <mergeCell ref="J57:J58"/>
    <mergeCell ref="K57:K58"/>
    <mergeCell ref="B58:B59"/>
    <mergeCell ref="I49:J49"/>
    <mergeCell ref="I50:J50"/>
    <mergeCell ref="I51:J51"/>
    <mergeCell ref="I52:J52"/>
    <mergeCell ref="N52:R52"/>
    <mergeCell ref="N53:O53"/>
    <mergeCell ref="Q53:Q54"/>
    <mergeCell ref="R53:R54"/>
    <mergeCell ref="E44:F44"/>
    <mergeCell ref="I44:J44"/>
    <mergeCell ref="I45:J45"/>
    <mergeCell ref="I46:J46"/>
    <mergeCell ref="I47:K47"/>
    <mergeCell ref="I48:J48"/>
    <mergeCell ref="A41:D42"/>
    <mergeCell ref="I41:K41"/>
    <mergeCell ref="I42:J42"/>
    <mergeCell ref="E43:F43"/>
    <mergeCell ref="G43:H43"/>
    <mergeCell ref="I43:J43"/>
    <mergeCell ref="I34:K34"/>
    <mergeCell ref="G35:H35"/>
    <mergeCell ref="G36:H36"/>
    <mergeCell ref="G37:H37"/>
    <mergeCell ref="G38:H38"/>
    <mergeCell ref="A40:B40"/>
    <mergeCell ref="I40:K40"/>
    <mergeCell ref="B43:C43"/>
    <mergeCell ref="N29:O29"/>
    <mergeCell ref="A31:A32"/>
    <mergeCell ref="B31:B32"/>
    <mergeCell ref="C31:C32"/>
    <mergeCell ref="D31:D32"/>
    <mergeCell ref="E33:F33"/>
    <mergeCell ref="N33:O33"/>
    <mergeCell ref="G27:H27"/>
    <mergeCell ref="I27:J27"/>
    <mergeCell ref="A28:A29"/>
    <mergeCell ref="B28:B29"/>
    <mergeCell ref="C28:C29"/>
    <mergeCell ref="D28:D29"/>
    <mergeCell ref="A21:E21"/>
    <mergeCell ref="G21:K21"/>
    <mergeCell ref="N23:O23"/>
    <mergeCell ref="N24:O24"/>
    <mergeCell ref="A26:D26"/>
    <mergeCell ref="G26:K26"/>
    <mergeCell ref="N14:O14"/>
    <mergeCell ref="A15:F15"/>
    <mergeCell ref="H15:K15"/>
    <mergeCell ref="A16:A18"/>
    <mergeCell ref="B16:B18"/>
    <mergeCell ref="C16:C18"/>
    <mergeCell ref="D16:D18"/>
    <mergeCell ref="E16:E18"/>
    <mergeCell ref="F16:F18"/>
    <mergeCell ref="A13:B13"/>
    <mergeCell ref="D13:E13"/>
    <mergeCell ref="AA2:AC2"/>
    <mergeCell ref="AE2:AE3"/>
    <mergeCell ref="AF2:AF3"/>
    <mergeCell ref="AG2:AG3"/>
    <mergeCell ref="B3:C3"/>
    <mergeCell ref="H3:I3"/>
    <mergeCell ref="J3:K3"/>
    <mergeCell ref="A5:B5"/>
    <mergeCell ref="E5:F5"/>
    <mergeCell ref="A1:B1"/>
    <mergeCell ref="C1:G1"/>
    <mergeCell ref="H1:I1"/>
    <mergeCell ref="J1:K1"/>
    <mergeCell ref="B2:C2"/>
    <mergeCell ref="H2:I2"/>
    <mergeCell ref="J2:K2"/>
    <mergeCell ref="H5:K5"/>
    <mergeCell ref="AI5:AJ5"/>
  </mergeCells>
  <conditionalFormatting sqref="T110">
    <cfRule type="expression" dxfId="8" priority="6">
      <formula>$K$19/$K$18&gt;0.268</formula>
    </cfRule>
  </conditionalFormatting>
  <conditionalFormatting sqref="L35">
    <cfRule type="cellIs" dxfId="7" priority="7" operator="greaterThan">
      <formula>100</formula>
    </cfRule>
  </conditionalFormatting>
  <conditionalFormatting sqref="L29">
    <cfRule type="cellIs" dxfId="6" priority="8" operator="greaterThan">
      <formula>100</formula>
    </cfRule>
  </conditionalFormatting>
  <conditionalFormatting sqref="B39">
    <cfRule type="cellIs" dxfId="5" priority="9" operator="greaterThan">
      <formula>0.97</formula>
    </cfRule>
  </conditionalFormatting>
  <conditionalFormatting sqref="B36">
    <cfRule type="cellIs" dxfId="4" priority="3" operator="greaterThan">
      <formula>0.5</formula>
    </cfRule>
    <cfRule type="cellIs" dxfId="3" priority="4" operator="greaterThan">
      <formula>0.5</formula>
    </cfRule>
  </conditionalFormatting>
  <conditionalFormatting sqref="K83">
    <cfRule type="cellIs" dxfId="2" priority="2" operator="greaterThan">
      <formula>0.2</formula>
    </cfRule>
  </conditionalFormatting>
  <dataValidations count="5">
    <dataValidation type="list" allowBlank="1" showInputMessage="1" showErrorMessage="1" sqref="H17">
      <formula1>$N$34:$N$36</formula1>
    </dataValidation>
    <dataValidation type="list" allowBlank="1" showInputMessage="1" showErrorMessage="1" sqref="I17">
      <formula1>$N$30:$N$31</formula1>
    </dataValidation>
    <dataValidation type="list" allowBlank="1" showInputMessage="1" showErrorMessage="1" sqref="J17">
      <formula1>$N$25:$N$27</formula1>
    </dataValidation>
    <dataValidation type="list" allowBlank="1" showInputMessage="1" showErrorMessage="1" sqref="A19">
      <formula1>$O$107:$O123</formula1>
    </dataValidation>
    <dataValidation type="list" allowBlank="1" showInputMessage="1" showErrorMessage="1" sqref="A30">
      <formula1>$O$55:$O$104</formula1>
    </dataValidation>
  </dataValidations>
  <printOptions horizontalCentered="1"/>
  <pageMargins left="0.70866141732283472" right="0.70866141732283472" top="0.19685039370078741" bottom="0" header="0.51181102362204722" footer="0.39370078740157483"/>
  <pageSetup scale="47" fitToHeight="0" orientation="portrait" horizontalDpi="4294967293" verticalDpi="300" r:id="rId1"/>
  <headerFooter>
    <oddFooter>&amp;CV4424     &amp;D</oddFooter>
  </headerFooter>
  <rowBreaks count="1" manualBreakCount="1">
    <brk id="83" max="16383" man="1"/>
  </rowBreaks>
  <ignoredErrors>
    <ignoredError sqref="D81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2"/>
  <sheetViews>
    <sheetView zoomScale="80" zoomScaleNormal="80" workbookViewId="0">
      <pane ySplit="1" topLeftCell="A2" activePane="bottomLeft" state="frozen"/>
      <selection activeCell="O47" sqref="O47"/>
      <selection pane="bottomLeft" activeCell="P8" sqref="P8"/>
    </sheetView>
  </sheetViews>
  <sheetFormatPr defaultRowHeight="12.75" outlineLevelCol="2" x14ac:dyDescent="0.2"/>
  <cols>
    <col min="1" max="1" width="5.28515625" customWidth="1"/>
    <col min="2" max="2" width="10.5703125" customWidth="1"/>
    <col min="3" max="3" width="11.5703125" customWidth="1"/>
    <col min="4" max="4" width="8.85546875" bestFit="1" customWidth="1"/>
    <col min="5" max="5" width="7.7109375" bestFit="1" customWidth="1"/>
    <col min="6" max="6" width="12.42578125" customWidth="1"/>
    <col min="7" max="7" width="7.28515625" customWidth="1"/>
    <col min="8" max="8" width="10.28515625" bestFit="1" customWidth="1"/>
    <col min="9" max="9" width="10" bestFit="1" customWidth="1"/>
    <col min="10" max="10" width="9.7109375" customWidth="1"/>
    <col min="11" max="11" width="13" customWidth="1"/>
    <col min="12" max="12" width="10.85546875" customWidth="1"/>
    <col min="13" max="13" width="9.42578125" customWidth="1"/>
    <col min="14" max="14" width="10.85546875" bestFit="1" customWidth="1"/>
    <col min="15" max="15" width="7.7109375" customWidth="1"/>
    <col min="16" max="16" width="5.7109375" customWidth="1"/>
    <col min="17" max="17" width="19.85546875" hidden="1" customWidth="1" outlineLevel="1"/>
    <col min="18" max="18" width="10.140625" hidden="1" customWidth="1" outlineLevel="1"/>
    <col min="19" max="19" width="7.140625" hidden="1" customWidth="1" outlineLevel="1"/>
    <col min="20" max="20" width="11.85546875" hidden="1" customWidth="1" outlineLevel="2"/>
    <col min="21" max="21" width="20.5703125" hidden="1" customWidth="1" outlineLevel="2"/>
    <col min="22" max="22" width="5.28515625" hidden="1" customWidth="1" outlineLevel="2"/>
    <col min="23" max="23" width="15" hidden="1" customWidth="1" outlineLevel="2"/>
    <col min="24" max="24" width="6.7109375" hidden="1" customWidth="1" outlineLevel="2"/>
    <col min="25" max="25" width="10.140625" hidden="1" customWidth="1" outlineLevel="2"/>
    <col min="26" max="26" width="12.7109375" hidden="1" customWidth="1" outlineLevel="2"/>
    <col min="27" max="27" width="15.85546875" hidden="1" customWidth="1" outlineLevel="2"/>
    <col min="28" max="28" width="12.7109375" hidden="1" customWidth="1" outlineLevel="2"/>
    <col min="29" max="29" width="13.7109375" hidden="1" customWidth="1" outlineLevel="2"/>
    <col min="30" max="30" width="6.42578125" hidden="1" customWidth="1" outlineLevel="2"/>
    <col min="31" max="31" width="5.7109375" hidden="1" customWidth="1" outlineLevel="2"/>
    <col min="32" max="32" width="8.140625" hidden="1" customWidth="1" outlineLevel="2"/>
    <col min="33" max="33" width="8.28515625" hidden="1" customWidth="1" outlineLevel="2"/>
    <col min="34" max="34" width="21.28515625" hidden="1" customWidth="1" outlineLevel="2"/>
    <col min="35" max="35" width="6.42578125" hidden="1" customWidth="1" outlineLevel="2"/>
    <col min="36" max="36" width="7.7109375" hidden="1" customWidth="1" outlineLevel="2"/>
    <col min="37" max="37" width="22.7109375" hidden="1" customWidth="1" outlineLevel="2"/>
    <col min="38" max="38" width="9.140625" hidden="1" customWidth="1" outlineLevel="2"/>
    <col min="39" max="39" width="19.85546875" hidden="1" customWidth="1" outlineLevel="2"/>
    <col min="40" max="40" width="19.7109375" hidden="1" customWidth="1" outlineLevel="2"/>
    <col min="41" max="41" width="15.28515625" hidden="1" customWidth="1" outlineLevel="2"/>
    <col min="42" max="42" width="13.42578125" hidden="1" customWidth="1" outlineLevel="2"/>
    <col min="43" max="43" width="17.140625" hidden="1" customWidth="1" outlineLevel="2"/>
    <col min="44" max="44" width="19.28515625" hidden="1" customWidth="1" outlineLevel="2"/>
    <col min="45" max="45" width="12" hidden="1" customWidth="1" outlineLevel="2"/>
    <col min="46" max="46" width="17.85546875" hidden="1" customWidth="1" outlineLevel="2"/>
    <col min="47" max="47" width="9" hidden="1" customWidth="1" outlineLevel="2"/>
    <col min="48" max="48" width="12.5703125" hidden="1" customWidth="1" outlineLevel="2"/>
    <col min="49" max="49" width="8.7109375" hidden="1" customWidth="1" outlineLevel="2"/>
    <col min="50" max="50" width="12.85546875" hidden="1" customWidth="1" outlineLevel="2"/>
    <col min="51" max="52" width="9.140625" hidden="1" customWidth="1" outlineLevel="2"/>
    <col min="53" max="53" width="9.140625" collapsed="1"/>
  </cols>
  <sheetData>
    <row r="1" spans="1:48" s="159" customFormat="1" ht="29.25" customHeight="1" x14ac:dyDescent="0.2">
      <c r="A1" s="484"/>
      <c r="B1" s="449"/>
      <c r="C1" s="449"/>
      <c r="D1" s="449"/>
      <c r="E1" s="449"/>
      <c r="F1" s="449"/>
      <c r="G1" s="449"/>
      <c r="H1" s="449"/>
      <c r="I1"/>
      <c r="J1"/>
      <c r="K1"/>
      <c r="L1"/>
      <c r="M1"/>
      <c r="N1"/>
      <c r="O1"/>
      <c r="Q1" s="480" t="s">
        <v>601</v>
      </c>
      <c r="R1" s="159" t="s">
        <v>630</v>
      </c>
      <c r="S1" s="159" t="s">
        <v>609</v>
      </c>
      <c r="T1" s="159" t="s">
        <v>619</v>
      </c>
      <c r="U1" s="159" t="s">
        <v>612</v>
      </c>
      <c r="V1" s="159" t="s">
        <v>626</v>
      </c>
      <c r="W1" s="159" t="s">
        <v>637</v>
      </c>
      <c r="X1" s="159" t="s">
        <v>610</v>
      </c>
      <c r="Y1" s="159" t="s">
        <v>629</v>
      </c>
      <c r="Z1" s="159" t="s">
        <v>616</v>
      </c>
      <c r="AA1" s="159" t="s">
        <v>627</v>
      </c>
      <c r="AB1" s="159" t="s">
        <v>615</v>
      </c>
      <c r="AC1" s="159" t="s">
        <v>677</v>
      </c>
      <c r="AD1" s="159" t="s">
        <v>618</v>
      </c>
      <c r="AE1" s="159" t="s">
        <v>623</v>
      </c>
      <c r="AF1" s="159" t="s">
        <v>617</v>
      </c>
      <c r="AG1" s="159" t="s">
        <v>620</v>
      </c>
      <c r="AH1" s="159" t="s">
        <v>631</v>
      </c>
      <c r="AI1" s="159" t="s">
        <v>611</v>
      </c>
      <c r="AJ1" s="159" t="s">
        <v>632</v>
      </c>
      <c r="AK1" s="159" t="s">
        <v>638</v>
      </c>
      <c r="AL1" s="159" t="s">
        <v>633</v>
      </c>
      <c r="AM1" s="159" t="s">
        <v>614</v>
      </c>
      <c r="AN1" s="159" t="s">
        <v>636</v>
      </c>
      <c r="AO1" s="159" t="s">
        <v>624</v>
      </c>
      <c r="AP1" s="159" t="s">
        <v>622</v>
      </c>
      <c r="AQ1" s="159" t="s">
        <v>628</v>
      </c>
      <c r="AR1" s="159" t="s">
        <v>613</v>
      </c>
      <c r="AS1" s="159" t="s">
        <v>625</v>
      </c>
      <c r="AT1" s="159" t="s">
        <v>621</v>
      </c>
      <c r="AU1" s="159" t="s">
        <v>234</v>
      </c>
      <c r="AV1" s="159" t="s">
        <v>640</v>
      </c>
    </row>
    <row r="2" spans="1:48" ht="33" customHeight="1" thickBot="1" x14ac:dyDescent="0.3">
      <c r="A2" s="1045" t="s">
        <v>601</v>
      </c>
      <c r="B2" s="1045"/>
      <c r="C2" s="1045"/>
      <c r="D2" s="862"/>
      <c r="E2" s="862"/>
      <c r="F2" s="1045" t="s">
        <v>1032</v>
      </c>
      <c r="G2" s="1045"/>
      <c r="H2" s="1045"/>
      <c r="I2" s="1045"/>
      <c r="J2" s="1045"/>
      <c r="K2" s="1045"/>
      <c r="L2" s="1045"/>
      <c r="M2" s="1045"/>
      <c r="N2" s="1045"/>
      <c r="P2" s="479"/>
      <c r="Q2" s="482" t="s">
        <v>607</v>
      </c>
      <c r="S2" t="s">
        <v>641</v>
      </c>
      <c r="U2" t="s">
        <v>648</v>
      </c>
      <c r="AM2" t="s">
        <v>644</v>
      </c>
      <c r="AN2" t="s">
        <v>645</v>
      </c>
      <c r="AR2" t="s">
        <v>645</v>
      </c>
    </row>
    <row r="3" spans="1:48" ht="24.75" customHeight="1" thickBot="1" x14ac:dyDescent="0.25">
      <c r="A3" s="1049" t="s">
        <v>634</v>
      </c>
      <c r="B3" s="1050"/>
      <c r="C3" s="1051"/>
      <c r="F3" s="1048" t="s">
        <v>714</v>
      </c>
      <c r="G3" s="1048"/>
      <c r="H3" s="1048"/>
      <c r="I3" s="1048"/>
      <c r="J3" s="1048"/>
      <c r="K3" s="1048"/>
      <c r="L3" s="1048"/>
      <c r="M3" s="1048"/>
      <c r="N3" s="1048"/>
      <c r="P3" s="479"/>
      <c r="Q3" s="482" t="s">
        <v>602</v>
      </c>
      <c r="S3" t="s">
        <v>642</v>
      </c>
      <c r="X3" t="s">
        <v>647</v>
      </c>
      <c r="AI3" t="s">
        <v>643</v>
      </c>
      <c r="AN3" t="s">
        <v>646</v>
      </c>
      <c r="AV3" t="s">
        <v>649</v>
      </c>
    </row>
    <row r="4" spans="1:48" ht="18" customHeight="1" thickTop="1" x14ac:dyDescent="0.2">
      <c r="B4" s="1053" t="s">
        <v>630</v>
      </c>
      <c r="C4" s="1054"/>
      <c r="D4" s="1042"/>
      <c r="E4" s="1042"/>
      <c r="F4" s="1046" t="str">
        <f>IF(INDEX(R2:R16,MATCH($A$3,Q2:Q16,0))=0,"",INDEX(R2:R16,MATCH($A$3,Q2:Q16,0)))</f>
        <v/>
      </c>
      <c r="G4" s="1047"/>
      <c r="H4" s="1047"/>
      <c r="I4" s="1047"/>
      <c r="J4" s="1047"/>
      <c r="K4" s="1047"/>
      <c r="L4" s="1047"/>
      <c r="M4" s="1047"/>
      <c r="N4" s="1047"/>
      <c r="P4" s="479"/>
      <c r="Q4" s="482" t="s">
        <v>337</v>
      </c>
      <c r="S4" t="s">
        <v>650</v>
      </c>
      <c r="X4" t="s">
        <v>651</v>
      </c>
      <c r="AI4" t="s">
        <v>663</v>
      </c>
      <c r="AN4" t="s">
        <v>658</v>
      </c>
      <c r="AV4" t="s">
        <v>704</v>
      </c>
    </row>
    <row r="5" spans="1:48" ht="18" customHeight="1" x14ac:dyDescent="0.2">
      <c r="B5" s="1041" t="s">
        <v>609</v>
      </c>
      <c r="C5" s="1042"/>
      <c r="D5" s="1042"/>
      <c r="E5" s="1042"/>
      <c r="F5" s="1043" t="str">
        <f>IF(INDEX(S2:S16,MATCH($A$3,Q2:Q16,0))=0,"",INDEX(S2:S16,MATCH($A$3,Q2:Q16,0)))</f>
        <v/>
      </c>
      <c r="G5" s="1044"/>
      <c r="H5" s="1044"/>
      <c r="I5" s="1044"/>
      <c r="J5" s="1044"/>
      <c r="K5" s="1044"/>
      <c r="L5" s="1044"/>
      <c r="M5" s="1044"/>
      <c r="N5" s="1044"/>
      <c r="P5" s="479"/>
      <c r="Q5" s="482" t="s">
        <v>639</v>
      </c>
      <c r="T5" t="s">
        <v>705</v>
      </c>
      <c r="U5" t="s">
        <v>652</v>
      </c>
      <c r="AG5" t="s">
        <v>654</v>
      </c>
      <c r="AI5" t="s">
        <v>653</v>
      </c>
      <c r="AP5" t="s">
        <v>656</v>
      </c>
      <c r="AT5" t="s">
        <v>655</v>
      </c>
    </row>
    <row r="6" spans="1:48" ht="18" customHeight="1" x14ac:dyDescent="0.2">
      <c r="B6" s="1039" t="s">
        <v>619</v>
      </c>
      <c r="C6" s="1040"/>
      <c r="D6" s="1040"/>
      <c r="E6" s="1040"/>
      <c r="F6" s="1043" t="str">
        <f>IF(INDEX(T2:T16,MATCH($A$3,Q2:Q16,0))=0,"",INDEX(T2:T16,MATCH($A$3,Q2:Q16,0)))</f>
        <v/>
      </c>
      <c r="G6" s="1044"/>
      <c r="H6" s="1044"/>
      <c r="I6" s="1044"/>
      <c r="J6" s="1044"/>
      <c r="K6" s="1044"/>
      <c r="L6" s="1044"/>
      <c r="M6" s="1044"/>
      <c r="N6" s="1044"/>
      <c r="P6" s="479"/>
      <c r="Q6" s="482" t="s">
        <v>338</v>
      </c>
      <c r="S6" t="s">
        <v>657</v>
      </c>
      <c r="X6" t="s">
        <v>651</v>
      </c>
      <c r="AI6" t="s">
        <v>653</v>
      </c>
      <c r="AM6" t="s">
        <v>706</v>
      </c>
      <c r="AN6" t="s">
        <v>658</v>
      </c>
    </row>
    <row r="7" spans="1:48" ht="18" customHeight="1" x14ac:dyDescent="0.2">
      <c r="B7" s="1041" t="s">
        <v>612</v>
      </c>
      <c r="C7" s="1042"/>
      <c r="D7" s="1042"/>
      <c r="E7" s="1042"/>
      <c r="F7" s="1043" t="str">
        <f>IF(INDEX(U2:U16,MATCH($A$3,Q2:Q16,0))=0,"",INDEX(U2:U16,MATCH($A$3,Q2:Q16,0)))</f>
        <v/>
      </c>
      <c r="G7" s="1044"/>
      <c r="H7" s="1044"/>
      <c r="I7" s="1044"/>
      <c r="J7" s="1044"/>
      <c r="K7" s="1044"/>
      <c r="L7" s="1044"/>
      <c r="M7" s="1044"/>
      <c r="N7" s="1044"/>
      <c r="P7" s="479"/>
      <c r="Q7" s="482" t="s">
        <v>340</v>
      </c>
      <c r="U7" t="s">
        <v>670</v>
      </c>
      <c r="Y7" t="s">
        <v>669</v>
      </c>
      <c r="AI7" t="s">
        <v>671</v>
      </c>
      <c r="AN7" t="s">
        <v>672</v>
      </c>
    </row>
    <row r="8" spans="1:48" ht="18" customHeight="1" x14ac:dyDescent="0.2">
      <c r="B8" s="1041" t="s">
        <v>626</v>
      </c>
      <c r="C8" s="1042"/>
      <c r="D8" s="1042"/>
      <c r="E8" s="493"/>
      <c r="F8" s="1043" t="str">
        <f>IF(INDEX(V2:V16,MATCH($A$3,Q2:Q16,0))=0,"",INDEX(V2:V16,MATCH($A$3,Q2:Q16,0)))</f>
        <v>BA11, GRE</v>
      </c>
      <c r="G8" s="1044"/>
      <c r="H8" s="1044"/>
      <c r="I8" s="1044"/>
      <c r="J8" s="1044"/>
      <c r="K8" s="1044"/>
      <c r="L8" s="1044"/>
      <c r="M8" s="1044"/>
      <c r="N8" s="1044"/>
      <c r="P8" s="479"/>
      <c r="Q8" s="482" t="s">
        <v>604</v>
      </c>
      <c r="S8" t="s">
        <v>679</v>
      </c>
      <c r="X8" t="s">
        <v>680</v>
      </c>
      <c r="AG8" t="s">
        <v>681</v>
      </c>
      <c r="AN8" t="s">
        <v>682</v>
      </c>
      <c r="AP8" t="s">
        <v>684</v>
      </c>
      <c r="AT8" t="s">
        <v>683</v>
      </c>
    </row>
    <row r="9" spans="1:48" ht="18" customHeight="1" x14ac:dyDescent="0.2">
      <c r="B9" s="1041" t="s">
        <v>637</v>
      </c>
      <c r="C9" s="1042"/>
      <c r="D9" s="1042"/>
      <c r="E9" s="1042"/>
      <c r="F9" s="1043" t="str">
        <f>IF(INDEX(W$2:W$16,MATCH($A$3,Q2:Q16,0))=0,"",INDEX(W$2:W$16,MATCH($A$3,Q2:Q16,0)))</f>
        <v/>
      </c>
      <c r="G9" s="1044"/>
      <c r="H9" s="1044"/>
      <c r="I9" s="1044"/>
      <c r="J9" s="1044"/>
      <c r="K9" s="1044"/>
      <c r="L9" s="1044"/>
      <c r="M9" s="1044"/>
      <c r="N9" s="1044"/>
      <c r="P9" s="479"/>
      <c r="Q9" s="482" t="s">
        <v>279</v>
      </c>
      <c r="Y9" t="s">
        <v>688</v>
      </c>
      <c r="AI9" t="s">
        <v>689</v>
      </c>
      <c r="AJ9" t="s">
        <v>690</v>
      </c>
      <c r="AN9" t="s">
        <v>692</v>
      </c>
      <c r="AS9" t="s">
        <v>691</v>
      </c>
    </row>
    <row r="10" spans="1:48" ht="18" customHeight="1" x14ac:dyDescent="0.2">
      <c r="B10" s="1039" t="s">
        <v>610</v>
      </c>
      <c r="C10" s="1040"/>
      <c r="D10" s="1040"/>
      <c r="E10" s="1040"/>
      <c r="F10" s="1043" t="str">
        <f>IF(INDEX(X$2:X$16,MATCH($A$3,$Q$2:$Q$16,0))=0,"",INDEX(X$2:X$16,MATCH($A$3,$Q$2:$Q$16,0)))</f>
        <v/>
      </c>
      <c r="G10" s="1044"/>
      <c r="H10" s="1044"/>
      <c r="I10" s="1044"/>
      <c r="J10" s="1044"/>
      <c r="K10" s="1044"/>
      <c r="L10" s="1044"/>
      <c r="M10" s="1044"/>
      <c r="N10" s="1044"/>
      <c r="P10" s="479"/>
      <c r="Q10" s="482" t="s">
        <v>344</v>
      </c>
      <c r="S10" t="s">
        <v>698</v>
      </c>
      <c r="U10" t="s">
        <v>702</v>
      </c>
      <c r="X10" t="s">
        <v>703</v>
      </c>
      <c r="AE10" t="s">
        <v>228</v>
      </c>
      <c r="AI10" t="s">
        <v>700</v>
      </c>
      <c r="AL10" t="s">
        <v>699</v>
      </c>
      <c r="AO10" t="s">
        <v>701</v>
      </c>
    </row>
    <row r="11" spans="1:48" ht="18" customHeight="1" x14ac:dyDescent="0.2">
      <c r="B11" s="1041" t="s">
        <v>629</v>
      </c>
      <c r="C11" s="1042"/>
      <c r="D11" s="1042"/>
      <c r="E11" s="1042"/>
      <c r="F11" s="1043" t="str">
        <f>IF(INDEX(Y$2:Y$16,MATCH($A$3,$Q$2:$Q$16,0))=0,"",INDEX(Y$2:Y$16,MATCH($A$3,$Q$2:$Q$16,0)))</f>
        <v/>
      </c>
      <c r="G11" s="1044"/>
      <c r="H11" s="1044"/>
      <c r="I11" s="1044"/>
      <c r="J11" s="1044"/>
      <c r="K11" s="1044"/>
      <c r="L11" s="1044"/>
      <c r="M11" s="1044"/>
      <c r="N11" s="1044"/>
      <c r="P11" s="479"/>
      <c r="Q11" s="482" t="s">
        <v>603</v>
      </c>
      <c r="Z11" t="s">
        <v>707</v>
      </c>
      <c r="AB11" t="s">
        <v>708</v>
      </c>
      <c r="AD11" t="s">
        <v>659</v>
      </c>
      <c r="AF11" t="s">
        <v>709</v>
      </c>
      <c r="AU11" t="s">
        <v>710</v>
      </c>
    </row>
    <row r="12" spans="1:48" ht="18" customHeight="1" x14ac:dyDescent="0.2">
      <c r="B12" s="1041" t="s">
        <v>616</v>
      </c>
      <c r="C12" s="1042"/>
      <c r="D12" s="1042"/>
      <c r="E12" s="1042"/>
      <c r="F12" s="1043" t="str">
        <f>IF(INDEX(Z$2:Z$16,MATCH($A$3,$Q$2:$Q$16,0))=0,"",INDEX(Z$2:Z$16,MATCH($A$3,$Q$2:$Q$16,0)))</f>
        <v/>
      </c>
      <c r="G12" s="1044"/>
      <c r="H12" s="1044"/>
      <c r="I12" s="1044"/>
      <c r="J12" s="1044"/>
      <c r="K12" s="1044"/>
      <c r="L12" s="1044"/>
      <c r="M12" s="1044"/>
      <c r="N12" s="1044"/>
      <c r="P12" s="186"/>
      <c r="Q12" s="482" t="s">
        <v>712</v>
      </c>
      <c r="AF12" t="s">
        <v>711</v>
      </c>
      <c r="AI12" t="s">
        <v>660</v>
      </c>
      <c r="AK12" t="s">
        <v>661</v>
      </c>
      <c r="AV12" t="s">
        <v>662</v>
      </c>
    </row>
    <row r="13" spans="1:48" ht="18" customHeight="1" x14ac:dyDescent="0.2">
      <c r="B13" s="1041" t="s">
        <v>627</v>
      </c>
      <c r="C13" s="1042"/>
      <c r="D13" s="1042"/>
      <c r="E13" s="1042"/>
      <c r="F13" s="1043" t="str">
        <f>IF(INDEX(AA$2:AA$16,MATCH($A$3,$Q$2:$Q$16,0))=0,"",INDEX(AA$2:AA$16,MATCH($A$3,$Q$2:$Q$16,0)))</f>
        <v>R2</v>
      </c>
      <c r="G13" s="1044"/>
      <c r="H13" s="1044"/>
      <c r="I13" s="1044"/>
      <c r="J13" s="1044"/>
      <c r="K13" s="1044"/>
      <c r="L13" s="1044"/>
      <c r="M13" s="1044"/>
      <c r="N13" s="1044"/>
      <c r="P13" s="479"/>
      <c r="Q13" s="482" t="s">
        <v>49</v>
      </c>
      <c r="V13" t="s">
        <v>666</v>
      </c>
      <c r="W13" t="s">
        <v>665</v>
      </c>
      <c r="AA13" t="s">
        <v>668</v>
      </c>
      <c r="AG13" t="s">
        <v>664</v>
      </c>
      <c r="AQ13" t="s">
        <v>667</v>
      </c>
    </row>
    <row r="14" spans="1:48" ht="18" customHeight="1" x14ac:dyDescent="0.2">
      <c r="B14" s="1041" t="s">
        <v>615</v>
      </c>
      <c r="C14" s="1042"/>
      <c r="D14" s="1042"/>
      <c r="E14" s="1042"/>
      <c r="F14" s="1043" t="str">
        <f>IF(INDEX(AB$2:AB$16,MATCH($A$3,$Q$2:$Q$16,0))=0,"",INDEX(AB$2:AB$16,MATCH($A$3,$Q$2:$Q$16,0)))</f>
        <v/>
      </c>
      <c r="G14" s="1044"/>
      <c r="H14" s="1044"/>
      <c r="I14" s="1044"/>
      <c r="J14" s="1044"/>
      <c r="K14" s="1044"/>
      <c r="L14" s="1044"/>
      <c r="M14" s="1044"/>
      <c r="N14" s="1044"/>
      <c r="P14" s="479"/>
      <c r="Q14" s="482" t="s">
        <v>341</v>
      </c>
      <c r="R14" t="s">
        <v>676</v>
      </c>
      <c r="AA14" t="s">
        <v>675</v>
      </c>
      <c r="AC14" t="s">
        <v>678</v>
      </c>
      <c r="AF14" t="s">
        <v>674</v>
      </c>
      <c r="AG14" t="s">
        <v>673</v>
      </c>
    </row>
    <row r="15" spans="1:48" ht="18" customHeight="1" x14ac:dyDescent="0.2">
      <c r="B15" s="1041" t="s">
        <v>677</v>
      </c>
      <c r="C15" s="1042"/>
      <c r="D15" s="1042"/>
      <c r="E15" s="1042"/>
      <c r="F15" s="1043" t="str">
        <f>IF(INDEX(AC$2:AC$16,MATCH($A$3,$Q$2:$Q$16,0))=0,"",INDEX(AC$2:AC$16,MATCH($A$3,$Q$2:$Q$16,0)))</f>
        <v/>
      </c>
      <c r="G15" s="1044"/>
      <c r="H15" s="1044"/>
      <c r="I15" s="1044"/>
      <c r="J15" s="1044"/>
      <c r="K15" s="1044"/>
      <c r="L15" s="1044"/>
      <c r="M15" s="1044"/>
      <c r="N15" s="1044"/>
      <c r="P15" s="479"/>
      <c r="Q15" s="482" t="s">
        <v>634</v>
      </c>
      <c r="V15" t="s">
        <v>685</v>
      </c>
      <c r="AA15" t="s">
        <v>255</v>
      </c>
      <c r="AF15" t="s">
        <v>686</v>
      </c>
      <c r="AH15" t="s">
        <v>230</v>
      </c>
      <c r="AQ15" t="s">
        <v>687</v>
      </c>
    </row>
    <row r="16" spans="1:48" ht="18" customHeight="1" x14ac:dyDescent="0.2">
      <c r="B16" s="1041" t="s">
        <v>618</v>
      </c>
      <c r="C16" s="1042"/>
      <c r="D16" s="1042"/>
      <c r="E16" s="1042"/>
      <c r="F16" s="1043" t="str">
        <f>IF(INDEX(AD$2:AD$16,MATCH($A$3,$Q$2:$Q$16,0))=0,"",INDEX(AD$2:AD$16,MATCH($A$3,$Q$2:$Q$16,0)))</f>
        <v/>
      </c>
      <c r="G16" s="1044"/>
      <c r="H16" s="1044"/>
      <c r="I16" s="1044"/>
      <c r="J16" s="1044"/>
      <c r="K16" s="1044"/>
      <c r="L16" s="1044"/>
      <c r="M16" s="1044"/>
      <c r="N16" s="1044"/>
      <c r="P16" s="479"/>
      <c r="Q16" s="482" t="s">
        <v>343</v>
      </c>
      <c r="Z16" t="s">
        <v>693</v>
      </c>
      <c r="AA16" t="s">
        <v>695</v>
      </c>
      <c r="AG16" t="s">
        <v>697</v>
      </c>
      <c r="AI16" t="s">
        <v>694</v>
      </c>
      <c r="AQ16" t="s">
        <v>696</v>
      </c>
    </row>
    <row r="17" spans="2:18" ht="18" customHeight="1" x14ac:dyDescent="0.2">
      <c r="B17" s="1041" t="s">
        <v>623</v>
      </c>
      <c r="C17" s="1042"/>
      <c r="D17" s="1042"/>
      <c r="E17" s="1042"/>
      <c r="F17" s="1043" t="str">
        <f>IF(INDEX(AE$2:AE$16,MATCH($A$3,$Q$2:$Q$16,0))=0,"",INDEX(AE$2:AE$16,MATCH($A$3,$Q$2:$Q$16,0)))</f>
        <v/>
      </c>
      <c r="G17" s="1044"/>
      <c r="H17" s="1044"/>
      <c r="I17" s="1044"/>
      <c r="J17" s="1044"/>
      <c r="K17" s="1044"/>
      <c r="L17" s="1044"/>
      <c r="M17" s="1044"/>
      <c r="N17" s="1044"/>
      <c r="P17" s="479"/>
      <c r="Q17" s="482"/>
      <c r="R17" s="9"/>
    </row>
    <row r="18" spans="2:18" ht="18" customHeight="1" x14ac:dyDescent="0.2">
      <c r="B18" s="1041" t="s">
        <v>617</v>
      </c>
      <c r="C18" s="1042"/>
      <c r="D18" s="1042"/>
      <c r="E18" s="1042"/>
      <c r="F18" s="1043" t="str">
        <f>IF(INDEX(AF$2:AF$16,MATCH($A$3,$Q$2:$Q$16,0))=0,"",INDEX(AF$2:AF$16,MATCH($A$3,$Q$2:$Q$16,0)))</f>
        <v>BA11, D47, OPALE, QA23,</v>
      </c>
      <c r="G18" s="1044"/>
      <c r="H18" s="1044"/>
      <c r="I18" s="1044"/>
      <c r="J18" s="1044"/>
      <c r="K18" s="1044"/>
      <c r="L18" s="1044"/>
      <c r="M18" s="1044"/>
      <c r="N18" s="1044"/>
      <c r="P18" s="479"/>
      <c r="Q18" s="482"/>
      <c r="R18" s="9"/>
    </row>
    <row r="19" spans="2:18" ht="18" customHeight="1" x14ac:dyDescent="0.2">
      <c r="B19" s="1041" t="s">
        <v>620</v>
      </c>
      <c r="C19" s="1042"/>
      <c r="D19" s="1042"/>
      <c r="E19" s="1042"/>
      <c r="F19" s="1043" t="str">
        <f>IF(INDEX(AG$2:AG$16,MATCH($A$3,$Q$2:$Q$16,0))=0,"",INDEX(AG$2:AG$16,MATCH($A$3,$Q$2:$Q$16,0)))</f>
        <v/>
      </c>
      <c r="G19" s="1044"/>
      <c r="H19" s="1044"/>
      <c r="I19" s="1044"/>
      <c r="J19" s="1044"/>
      <c r="K19" s="1044"/>
      <c r="L19" s="1044"/>
      <c r="M19" s="1044"/>
      <c r="N19" s="1044"/>
      <c r="P19" s="479"/>
      <c r="Q19" s="482"/>
      <c r="R19" s="9"/>
    </row>
    <row r="20" spans="2:18" ht="18" customHeight="1" x14ac:dyDescent="0.2">
      <c r="B20" s="1041" t="s">
        <v>713</v>
      </c>
      <c r="C20" s="1042"/>
      <c r="D20" s="1042"/>
      <c r="E20" s="1042"/>
      <c r="F20" s="1043" t="str">
        <f>IF(INDEX(AH$2:AH$16,MATCH($A$3,$Q$2:$Q$16,0))=0,"",INDEX(AH$2:AH$16,MATCH($A$3,$Q$2:$Q$16,0)))</f>
        <v>DV10</v>
      </c>
      <c r="G20" s="1044"/>
      <c r="H20" s="1044"/>
      <c r="I20" s="1044"/>
      <c r="J20" s="1044"/>
      <c r="K20" s="1044"/>
      <c r="L20" s="1044"/>
      <c r="M20" s="1044"/>
      <c r="N20" s="1044"/>
      <c r="P20" s="479"/>
      <c r="Q20" s="482"/>
      <c r="R20" s="9"/>
    </row>
    <row r="21" spans="2:18" ht="18" customHeight="1" x14ac:dyDescent="0.2">
      <c r="B21" s="1041" t="s">
        <v>611</v>
      </c>
      <c r="C21" s="1042"/>
      <c r="D21" s="1042"/>
      <c r="E21" s="1042"/>
      <c r="F21" s="1043" t="str">
        <f>IF(INDEX(AI$2:AI$16,MATCH($A$3,$Q$2:$Q$16,0))=0,"",INDEX(AI$2:AI$16,MATCH($A$3,$Q$2:$Q$16,0)))</f>
        <v/>
      </c>
      <c r="G21" s="1044"/>
      <c r="H21" s="1044"/>
      <c r="I21" s="1044"/>
      <c r="J21" s="1044"/>
      <c r="K21" s="1044"/>
      <c r="L21" s="1044"/>
      <c r="M21" s="1044"/>
      <c r="N21" s="1044"/>
      <c r="P21" s="479"/>
      <c r="Q21" s="482"/>
      <c r="R21" s="9"/>
    </row>
    <row r="22" spans="2:18" ht="18" customHeight="1" x14ac:dyDescent="0.2">
      <c r="B22" s="1041" t="s">
        <v>632</v>
      </c>
      <c r="C22" s="1042"/>
      <c r="D22" s="1042"/>
      <c r="E22" s="1042"/>
      <c r="F22" s="1043" t="str">
        <f>IF(INDEX(AJ$2:AJ$16,MATCH($A$3,$Q$2:$Q$16,0))=0,"",INDEX(AJ$2:AJ$16,MATCH($A$3,$Q$2:$Q$16,0)))</f>
        <v/>
      </c>
      <c r="G22" s="1044"/>
      <c r="H22" s="1044"/>
      <c r="I22" s="1044"/>
      <c r="J22" s="1044"/>
      <c r="K22" s="1044"/>
      <c r="L22" s="1044"/>
      <c r="M22" s="1044"/>
      <c r="N22" s="1044"/>
      <c r="P22" s="479"/>
      <c r="Q22" s="482"/>
      <c r="R22" s="9"/>
    </row>
    <row r="23" spans="2:18" ht="18" customHeight="1" x14ac:dyDescent="0.2">
      <c r="B23" s="1041" t="s">
        <v>638</v>
      </c>
      <c r="C23" s="1042"/>
      <c r="D23" s="1042"/>
      <c r="E23" s="1042"/>
      <c r="F23" s="1043" t="str">
        <f>IF(INDEX(AK2:AK$16,MATCH($A$3,Q2:Q$16,0))=0,"",INDEX(AK2:AK$16,MATCH($A$3,Q2:Q$16,0)))</f>
        <v/>
      </c>
      <c r="G23" s="1044"/>
      <c r="H23" s="1044"/>
      <c r="I23" s="1044"/>
      <c r="J23" s="1044"/>
      <c r="K23" s="1044"/>
      <c r="L23" s="1044"/>
      <c r="M23" s="1044"/>
      <c r="N23" s="1044"/>
      <c r="P23" s="479"/>
      <c r="Q23" s="482"/>
      <c r="R23" s="9"/>
    </row>
    <row r="24" spans="2:18" ht="18" customHeight="1" x14ac:dyDescent="0.2">
      <c r="B24" s="1041" t="s">
        <v>633</v>
      </c>
      <c r="C24" s="1042"/>
      <c r="D24" s="1042"/>
      <c r="E24" s="1042"/>
      <c r="F24" s="1043" t="str">
        <f>IF(INDEX(AL2:AL$16,MATCH($A$3,Q2:Q$16,0))=0,"",INDEX(AL2:AL$16,MATCH($A$3,Q2:Q$16,0)))</f>
        <v/>
      </c>
      <c r="G24" s="1044"/>
      <c r="H24" s="1044"/>
      <c r="I24" s="1044"/>
      <c r="J24" s="1044"/>
      <c r="K24" s="1044"/>
      <c r="L24" s="1044"/>
      <c r="M24" s="1044"/>
      <c r="N24" s="1044"/>
      <c r="P24" s="479"/>
      <c r="Q24" s="482"/>
      <c r="R24" s="9"/>
    </row>
    <row r="25" spans="2:18" ht="18" customHeight="1" x14ac:dyDescent="0.2">
      <c r="B25" s="1041" t="s">
        <v>614</v>
      </c>
      <c r="C25" s="1042"/>
      <c r="D25" s="1042"/>
      <c r="E25" s="1042"/>
      <c r="F25" s="1043" t="str">
        <f>IF(INDEX(AM$2:AM$16,MATCH($A$3,$Q$2:$Q$16,0))=0,"",INDEX(AM$2:AM$16,MATCH($A$3,$Q$2:$Q$16,0)))</f>
        <v/>
      </c>
      <c r="G25" s="1044"/>
      <c r="H25" s="1044"/>
      <c r="I25" s="1044"/>
      <c r="J25" s="1044"/>
      <c r="K25" s="1044"/>
      <c r="L25" s="1044"/>
      <c r="M25" s="1044"/>
      <c r="N25" s="1044"/>
      <c r="P25" s="479"/>
      <c r="Q25" s="482"/>
      <c r="R25" s="9"/>
    </row>
    <row r="26" spans="2:18" ht="18" customHeight="1" x14ac:dyDescent="0.2">
      <c r="B26" s="1041" t="s">
        <v>636</v>
      </c>
      <c r="C26" s="1042"/>
      <c r="D26" s="1042"/>
      <c r="E26" s="1042"/>
      <c r="F26" s="1043" t="str">
        <f>IF(INDEX(AN$2:AN$16,MATCH($A$3,$Q$2:$Q$16,0))=0,"",INDEX(AN$2:AN$16,MATCH($A$3,$Q$2:$Q$16,0)))</f>
        <v/>
      </c>
      <c r="G26" s="1044"/>
      <c r="H26" s="1044"/>
      <c r="I26" s="1044"/>
      <c r="J26" s="1044"/>
      <c r="K26" s="1044"/>
      <c r="L26" s="1044"/>
      <c r="M26" s="1044"/>
      <c r="N26" s="1044"/>
      <c r="P26" s="479"/>
      <c r="Q26" s="482"/>
      <c r="R26" s="9"/>
    </row>
    <row r="27" spans="2:18" ht="18" customHeight="1" x14ac:dyDescent="0.2">
      <c r="B27" s="1041" t="s">
        <v>624</v>
      </c>
      <c r="C27" s="1042"/>
      <c r="D27" s="1042"/>
      <c r="E27" s="1042"/>
      <c r="F27" s="1043" t="str">
        <f>IF(INDEX(AO$2:AO$16,MATCH($A$3,$Q$2:$Q$16,0))=0,"",INDEX(AO$2:AO$16,MATCH($A$3,$Q$2:$Q$16,0)))</f>
        <v/>
      </c>
      <c r="G27" s="1044"/>
      <c r="H27" s="1044"/>
      <c r="I27" s="1044"/>
      <c r="J27" s="1044"/>
      <c r="K27" s="1044"/>
      <c r="L27" s="1044"/>
      <c r="M27" s="1044"/>
      <c r="N27" s="1044"/>
      <c r="P27" s="479"/>
      <c r="Q27" s="482"/>
      <c r="R27" s="9"/>
    </row>
    <row r="28" spans="2:18" ht="18" customHeight="1" x14ac:dyDescent="0.2">
      <c r="B28" s="1041" t="s">
        <v>622</v>
      </c>
      <c r="C28" s="1042"/>
      <c r="D28" s="1042"/>
      <c r="E28" s="1042"/>
      <c r="F28" s="1043" t="str">
        <f>IF(INDEX(AP$2:AP$16,MATCH($A$3,$Q$2:$Q$16,0))=0,"",INDEX(AP$2:AP$16,MATCH($A$3,$Q$2:$Q$16,0)))</f>
        <v/>
      </c>
      <c r="G28" s="1044"/>
      <c r="H28" s="1044"/>
      <c r="I28" s="1044"/>
      <c r="J28" s="1044"/>
      <c r="K28" s="1044"/>
      <c r="L28" s="1044"/>
      <c r="M28" s="1044"/>
      <c r="N28" s="1044"/>
      <c r="P28" s="479"/>
      <c r="Q28" s="482"/>
      <c r="R28" s="9"/>
    </row>
    <row r="29" spans="2:18" ht="18" customHeight="1" x14ac:dyDescent="0.2">
      <c r="B29" s="1041" t="s">
        <v>628</v>
      </c>
      <c r="C29" s="1042"/>
      <c r="D29" s="1042"/>
      <c r="E29" s="1042"/>
      <c r="F29" s="1043" t="str">
        <f>IF(INDEX(AQ$2:AQ$16,MATCH($A$3,$Q$2:$Q$16,0))=0,"",INDEX(AQ$2:AQ$16,MATCH($A$3,$Q$2:$Q$16,0)))</f>
        <v>BA11, BM4X4, D47, OPALE</v>
      </c>
      <c r="G29" s="1044"/>
      <c r="H29" s="1044"/>
      <c r="I29" s="1044"/>
      <c r="J29" s="1044"/>
      <c r="K29" s="1044"/>
      <c r="L29" s="1044"/>
      <c r="M29" s="1044"/>
      <c r="N29" s="1044"/>
      <c r="P29" s="479"/>
      <c r="Q29" s="482"/>
      <c r="R29" s="9"/>
    </row>
    <row r="30" spans="2:18" ht="18" customHeight="1" x14ac:dyDescent="0.2">
      <c r="B30" s="1041" t="s">
        <v>613</v>
      </c>
      <c r="C30" s="1042"/>
      <c r="D30" s="1042"/>
      <c r="E30" s="1042"/>
      <c r="F30" s="1043" t="str">
        <f>IF(INDEX(AR$2:AR$16,MATCH($A$3,$Q$2:$Q$16,0))=0,"",INDEX(AR$2:AR$16,MATCH($A$3,$Q$2:$Q$16,0)))</f>
        <v/>
      </c>
      <c r="G30" s="1044"/>
      <c r="H30" s="1044"/>
      <c r="I30" s="1044"/>
      <c r="J30" s="1044"/>
      <c r="K30" s="1044"/>
      <c r="L30" s="1044"/>
      <c r="M30" s="1044"/>
      <c r="N30" s="1044"/>
      <c r="P30" s="479"/>
      <c r="Q30" s="482"/>
      <c r="R30" s="483"/>
    </row>
    <row r="31" spans="2:18" ht="18" customHeight="1" x14ac:dyDescent="0.2">
      <c r="B31" s="1041" t="s">
        <v>625</v>
      </c>
      <c r="C31" s="1042"/>
      <c r="D31" s="1042"/>
      <c r="E31" s="1042"/>
      <c r="F31" s="1043" t="str">
        <f>IF(INDEX(AS$2:AS$16,MATCH($A$3,$Q$2:$Q$16,0))=0,"",INDEX(AS$2:AS$16,MATCH($A$3,$Q$2:$Q$16,0)))</f>
        <v/>
      </c>
      <c r="G31" s="1044"/>
      <c r="H31" s="1044"/>
      <c r="I31" s="1044"/>
      <c r="J31" s="1044"/>
      <c r="K31" s="1044"/>
      <c r="L31" s="1044"/>
      <c r="M31" s="1044"/>
      <c r="N31" s="1044"/>
      <c r="P31" s="479"/>
      <c r="Q31" s="482"/>
      <c r="R31" s="9"/>
    </row>
    <row r="32" spans="2:18" ht="18" customHeight="1" x14ac:dyDescent="0.2">
      <c r="B32" s="492" t="s">
        <v>621</v>
      </c>
      <c r="C32" s="493"/>
      <c r="D32" s="493"/>
      <c r="E32" s="493"/>
      <c r="F32" s="1043" t="str">
        <f>IF(INDEX(AT$2:AT$16,MATCH($A$3,$Q$2:$Q$16,0))=0,"",INDEX(AT$2:AT$16,MATCH($A$3,$Q$2:$Q$16,0)))</f>
        <v/>
      </c>
      <c r="G32" s="1044"/>
      <c r="H32" s="1044"/>
      <c r="I32" s="1044"/>
      <c r="J32" s="1044"/>
      <c r="K32" s="1044"/>
      <c r="L32" s="1044"/>
      <c r="M32" s="1044"/>
      <c r="N32" s="1044"/>
      <c r="P32" s="479"/>
      <c r="Q32" s="482"/>
      <c r="R32" s="9"/>
    </row>
    <row r="33" spans="2:60" ht="18" customHeight="1" x14ac:dyDescent="0.2">
      <c r="B33" s="1041" t="s">
        <v>234</v>
      </c>
      <c r="C33" s="1042"/>
      <c r="D33" s="1042"/>
      <c r="E33" s="1042"/>
      <c r="F33" s="1043" t="str">
        <f>IF(INDEX(AU$2:AU$16,MATCH($A$3,$Q$2:$Q$16,0))=0,"",INDEX(AU$2:AU$16,MATCH($A$3,$Q$2:$Q$16,0)))</f>
        <v/>
      </c>
      <c r="G33" s="1044"/>
      <c r="H33" s="1044"/>
      <c r="I33" s="1044"/>
      <c r="J33" s="1044"/>
      <c r="K33" s="1044"/>
      <c r="L33" s="1044"/>
      <c r="M33" s="1044"/>
      <c r="N33" s="1044"/>
      <c r="P33" s="479"/>
      <c r="Q33" s="482"/>
      <c r="R33" s="9"/>
    </row>
    <row r="34" spans="2:60" ht="18" customHeight="1" x14ac:dyDescent="0.2">
      <c r="B34" s="1039" t="s">
        <v>640</v>
      </c>
      <c r="C34" s="1040"/>
      <c r="D34" s="1040"/>
      <c r="E34" s="1040"/>
      <c r="F34" s="1043" t="str">
        <f>IF(INDEX(AV$2:AV$16,MATCH($A$3,$Q$2:$Q$16,0))=0,"",INDEX(AV$2:AV$16,MATCH($A$3,$Q$2:$Q$16,0)))</f>
        <v/>
      </c>
      <c r="G34" s="1044"/>
      <c r="H34" s="1044"/>
      <c r="I34" s="1044"/>
      <c r="J34" s="1044"/>
      <c r="K34" s="1044"/>
      <c r="L34" s="1044"/>
      <c r="M34" s="1044"/>
      <c r="N34" s="1044"/>
      <c r="P34" s="479"/>
      <c r="Q34" s="487"/>
      <c r="R34" s="487"/>
      <c r="S34" s="487"/>
      <c r="T34" s="487"/>
      <c r="U34" s="487"/>
    </row>
    <row r="35" spans="2:60" ht="18" customHeight="1" x14ac:dyDescent="0.2">
      <c r="P35" s="479"/>
      <c r="Q35" s="392"/>
      <c r="R35" s="392"/>
      <c r="S35" s="392"/>
      <c r="T35" s="392"/>
      <c r="U35" s="392"/>
    </row>
    <row r="36" spans="2:60" ht="18" customHeight="1" x14ac:dyDescent="0.2">
      <c r="P36" s="479"/>
    </row>
    <row r="37" spans="2:60" x14ac:dyDescent="0.2">
      <c r="P37" s="479"/>
    </row>
    <row r="38" spans="2:60" x14ac:dyDescent="0.2">
      <c r="P38" s="479"/>
    </row>
    <row r="39" spans="2:60" ht="22.5" customHeight="1" x14ac:dyDescent="0.2">
      <c r="P39" s="479"/>
    </row>
    <row r="40" spans="2:60" ht="22.5" customHeight="1" x14ac:dyDescent="0.2">
      <c r="P40" s="135"/>
      <c r="S40" s="487"/>
      <c r="T40" s="487"/>
      <c r="U40" s="490"/>
      <c r="V40" s="490"/>
      <c r="W40" s="490"/>
      <c r="X40" s="490"/>
      <c r="Y40" s="490"/>
      <c r="Z40" s="490"/>
      <c r="AA40" s="490"/>
    </row>
    <row r="41" spans="2:60" ht="15.75" x14ac:dyDescent="0.2">
      <c r="P41" s="392"/>
      <c r="V41" s="392"/>
    </row>
    <row r="42" spans="2:60" ht="15.75" x14ac:dyDescent="0.2">
      <c r="U42" s="486"/>
      <c r="V42" s="9"/>
    </row>
    <row r="43" spans="2:60" ht="15.75" x14ac:dyDescent="0.2">
      <c r="P43" s="1052"/>
      <c r="Q43" s="1052"/>
      <c r="R43" s="1052"/>
      <c r="S43" s="1052"/>
      <c r="T43" s="1052"/>
      <c r="U43" s="1052"/>
      <c r="V43" s="1052"/>
      <c r="W43" s="1052"/>
      <c r="X43" s="1052"/>
      <c r="Y43" s="1052"/>
      <c r="Z43" s="1052"/>
      <c r="AA43" s="1052"/>
      <c r="AB43" s="1052"/>
      <c r="AC43" s="1052"/>
      <c r="AD43" s="1052"/>
      <c r="AE43" s="1052"/>
      <c r="AF43" s="1052"/>
      <c r="AG43" s="1052"/>
      <c r="AH43" s="1052"/>
      <c r="AI43" s="1052"/>
      <c r="AJ43" s="1052"/>
      <c r="AK43" s="1052"/>
      <c r="AL43" s="1052"/>
      <c r="AM43" s="1052"/>
      <c r="AN43" s="1052"/>
      <c r="AO43" s="1052"/>
      <c r="AP43" s="1052"/>
      <c r="AQ43" s="1052"/>
      <c r="AR43" s="1052"/>
      <c r="AS43" s="1052"/>
      <c r="AT43" s="1052"/>
      <c r="AU43" s="1052"/>
      <c r="AV43" s="1052"/>
      <c r="AW43" s="1052"/>
      <c r="AX43" s="1052"/>
      <c r="AY43" s="1052"/>
      <c r="AZ43" s="1052"/>
      <c r="BA43" s="1052"/>
      <c r="BB43" s="1052"/>
      <c r="BC43" s="1052"/>
      <c r="BD43" s="1052"/>
      <c r="BE43" s="1052"/>
      <c r="BF43" s="1052"/>
      <c r="BG43" s="1052"/>
      <c r="BH43" s="1052"/>
    </row>
    <row r="44" spans="2:60" ht="15.75" x14ac:dyDescent="0.2">
      <c r="U44" s="489"/>
      <c r="V44" s="488"/>
    </row>
    <row r="45" spans="2:60" ht="15.75" x14ac:dyDescent="0.2">
      <c r="U45" s="489"/>
      <c r="V45" s="488"/>
    </row>
    <row r="46" spans="2:60" ht="15.75" x14ac:dyDescent="0.2">
      <c r="U46" s="489"/>
      <c r="V46" s="488"/>
    </row>
    <row r="47" spans="2:60" ht="15.75" x14ac:dyDescent="0.2">
      <c r="U47" s="489"/>
      <c r="V47" s="488"/>
    </row>
    <row r="48" spans="2:60" ht="15.75" x14ac:dyDescent="0.2">
      <c r="U48" s="489"/>
      <c r="V48" s="488"/>
    </row>
    <row r="49" spans="21:22" ht="15.75" x14ac:dyDescent="0.2">
      <c r="U49" s="489"/>
      <c r="V49" s="488"/>
    </row>
    <row r="50" spans="21:22" ht="15.75" x14ac:dyDescent="0.2">
      <c r="U50" s="489"/>
      <c r="V50" s="488"/>
    </row>
    <row r="51" spans="21:22" ht="15.75" x14ac:dyDescent="0.2">
      <c r="U51" s="489"/>
      <c r="V51" s="488"/>
    </row>
    <row r="52" spans="21:22" ht="15.75" x14ac:dyDescent="0.2">
      <c r="U52" s="489"/>
      <c r="V52" s="488"/>
    </row>
    <row r="53" spans="21:22" ht="37.5" customHeight="1" x14ac:dyDescent="0.2">
      <c r="U53" s="489"/>
      <c r="V53" s="488"/>
    </row>
    <row r="54" spans="21:22" ht="15.75" x14ac:dyDescent="0.2">
      <c r="U54" s="489"/>
      <c r="V54" s="488"/>
    </row>
    <row r="55" spans="21:22" ht="15.75" x14ac:dyDescent="0.2">
      <c r="U55" s="489"/>
      <c r="V55" s="488"/>
    </row>
    <row r="56" spans="21:22" ht="15.75" x14ac:dyDescent="0.2">
      <c r="U56" s="489"/>
      <c r="V56" s="488"/>
    </row>
    <row r="57" spans="21:22" ht="15.75" x14ac:dyDescent="0.2">
      <c r="U57" s="489"/>
      <c r="V57" s="488"/>
    </row>
    <row r="58" spans="21:22" ht="15.75" x14ac:dyDescent="0.2">
      <c r="U58" s="489"/>
      <c r="V58" s="488"/>
    </row>
    <row r="59" spans="21:22" ht="15.75" x14ac:dyDescent="0.2">
      <c r="U59" s="489"/>
      <c r="V59" s="488"/>
    </row>
    <row r="60" spans="21:22" ht="15.75" x14ac:dyDescent="0.2">
      <c r="U60" s="489"/>
      <c r="V60" s="488"/>
    </row>
    <row r="61" spans="21:22" ht="15.75" x14ac:dyDescent="0.2">
      <c r="U61" s="489"/>
      <c r="V61" s="488"/>
    </row>
    <row r="62" spans="21:22" ht="15.75" x14ac:dyDescent="0.2">
      <c r="U62" s="489"/>
      <c r="V62" s="488"/>
    </row>
  </sheetData>
  <sheetProtection sheet="1" objects="1" scenarios="1" formatCells="0"/>
  <sortState ref="P2:BE24">
    <sortCondition ref="P2:P24"/>
    <sortCondition ref="Q2:Q24"/>
  </sortState>
  <mergeCells count="66">
    <mergeCell ref="A3:C3"/>
    <mergeCell ref="A2:C2"/>
    <mergeCell ref="B6:E6"/>
    <mergeCell ref="B7:E7"/>
    <mergeCell ref="P43:BH43"/>
    <mergeCell ref="F5:N5"/>
    <mergeCell ref="B4:E4"/>
    <mergeCell ref="B5:E5"/>
    <mergeCell ref="F7:N7"/>
    <mergeCell ref="F20:N20"/>
    <mergeCell ref="F8:N8"/>
    <mergeCell ref="F9:N9"/>
    <mergeCell ref="F10:N10"/>
    <mergeCell ref="F11:N11"/>
    <mergeCell ref="F12:N12"/>
    <mergeCell ref="F13:N13"/>
    <mergeCell ref="F2:N2"/>
    <mergeCell ref="F4:N4"/>
    <mergeCell ref="F6:N6"/>
    <mergeCell ref="F32:N32"/>
    <mergeCell ref="F3:N3"/>
    <mergeCell ref="F14:N14"/>
    <mergeCell ref="F16:N16"/>
    <mergeCell ref="F17:N17"/>
    <mergeCell ref="F18:N18"/>
    <mergeCell ref="F33:N33"/>
    <mergeCell ref="F34:N34"/>
    <mergeCell ref="F15:N15"/>
    <mergeCell ref="F26:N26"/>
    <mergeCell ref="F27:N27"/>
    <mergeCell ref="F28:N28"/>
    <mergeCell ref="F29:N29"/>
    <mergeCell ref="F30:N30"/>
    <mergeCell ref="F31:N31"/>
    <mergeCell ref="F21:N21"/>
    <mergeCell ref="F22:N22"/>
    <mergeCell ref="F23:N23"/>
    <mergeCell ref="F24:N24"/>
    <mergeCell ref="F25:N25"/>
    <mergeCell ref="F19:N19"/>
    <mergeCell ref="B8:D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34:E34"/>
    <mergeCell ref="B28:E28"/>
    <mergeCell ref="B29:E29"/>
    <mergeCell ref="B30:E30"/>
    <mergeCell ref="B31:E31"/>
    <mergeCell ref="B33:E33"/>
  </mergeCells>
  <dataValidations count="2">
    <dataValidation type="list" allowBlank="1" showInputMessage="1" showErrorMessage="1" sqref="Q17:Q33 Q2:Q15">
      <formula1>$Q$2:$Q$15</formula1>
    </dataValidation>
    <dataValidation type="list" allowBlank="1" showInputMessage="1" showErrorMessage="1" sqref="A3:C3">
      <formula1>$Q$2:$Q$16</formula1>
    </dataValidation>
  </dataValidations>
  <pageMargins left="0.23622047244094491" right="0.23622047244094491" top="0.35433070866141736" bottom="0.35433070866141736" header="0" footer="0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75"/>
  <sheetViews>
    <sheetView zoomScale="80" zoomScaleNormal="80" workbookViewId="0">
      <selection activeCell="F27" sqref="F27"/>
    </sheetView>
  </sheetViews>
  <sheetFormatPr defaultRowHeight="12.75" outlineLevelCol="2" x14ac:dyDescent="0.2"/>
  <cols>
    <col min="1" max="1" width="5.42578125" customWidth="1"/>
    <col min="2" max="2" width="8.42578125" customWidth="1"/>
    <col min="3" max="3" width="9" customWidth="1"/>
    <col min="4" max="4" width="5.140625" bestFit="1" customWidth="1"/>
    <col min="5" max="5" width="8" bestFit="1" customWidth="1"/>
    <col min="6" max="6" width="7.85546875" customWidth="1"/>
    <col min="7" max="9" width="19.7109375" customWidth="1"/>
    <col min="10" max="10" width="8.28515625" customWidth="1"/>
    <col min="11" max="11" width="8.5703125" customWidth="1"/>
    <col min="12" max="12" width="9.7109375" customWidth="1"/>
    <col min="13" max="13" width="13" customWidth="1"/>
    <col min="14" max="14" width="9.5703125" customWidth="1"/>
    <col min="15" max="15" width="8.7109375" customWidth="1"/>
    <col min="16" max="18" width="19.7109375" customWidth="1"/>
    <col min="19" max="19" width="6" customWidth="1"/>
    <col min="21" max="21" width="6.7109375" customWidth="1"/>
    <col min="22" max="22" width="9.140625" customWidth="1"/>
    <col min="23" max="23" width="13.5703125" customWidth="1"/>
    <col min="24" max="24" width="11.7109375" customWidth="1"/>
    <col min="25" max="25" width="15.5703125" customWidth="1"/>
    <col min="26" max="26" width="11.85546875" customWidth="1"/>
    <col min="27" max="27" width="19.42578125" customWidth="1" outlineLevel="1"/>
    <col min="28" max="28" width="20.28515625" customWidth="1" outlineLevel="2"/>
    <col min="29" max="29" width="15" customWidth="1" outlineLevel="2"/>
    <col min="30" max="30" width="18.140625" customWidth="1" outlineLevel="2"/>
    <col min="31" max="31" width="10.140625" customWidth="1" outlineLevel="2"/>
    <col min="32" max="32" width="15.5703125" customWidth="1" outlineLevel="2"/>
    <col min="33" max="33" width="7.42578125" customWidth="1" outlineLevel="2"/>
    <col min="34" max="34" width="14.85546875" customWidth="1" outlineLevel="2"/>
    <col min="35" max="35" width="15" customWidth="1" outlineLevel="2"/>
    <col min="36" max="36" width="14.140625" customWidth="1" outlineLevel="2"/>
    <col min="37" max="37" width="12" customWidth="1" outlineLevel="2"/>
    <col min="38" max="38" width="8.7109375" customWidth="1" outlineLevel="2"/>
    <col min="39" max="39" width="12" customWidth="1" outlineLevel="2"/>
    <col min="40" max="40" width="10.28515625" customWidth="1" outlineLevel="2"/>
    <col min="41" max="41" width="6.5703125" customWidth="1" outlineLevel="2"/>
    <col min="42" max="42" width="10.85546875" customWidth="1" outlineLevel="2"/>
    <col min="43" max="43" width="7.85546875" customWidth="1" outlineLevel="2"/>
    <col min="44" max="44" width="11.42578125" customWidth="1" outlineLevel="2"/>
    <col min="45" max="45" width="11.28515625" customWidth="1" outlineLevel="2"/>
    <col min="46" max="46" width="13" customWidth="1" outlineLevel="2"/>
    <col min="47" max="47" width="15.28515625" customWidth="1" outlineLevel="2"/>
    <col min="48" max="48" width="12.85546875" customWidth="1" outlineLevel="2"/>
    <col min="49" max="49" width="15.5703125" customWidth="1" outlineLevel="2"/>
    <col min="50" max="50" width="11.7109375" customWidth="1" outlineLevel="2"/>
    <col min="51" max="51" width="16.28515625" customWidth="1" outlineLevel="2"/>
    <col min="52" max="52" width="17.85546875" customWidth="1" outlineLevel="2"/>
    <col min="53" max="53" width="12.85546875" customWidth="1" outlineLevel="2"/>
    <col min="54" max="54" width="17" customWidth="1" outlineLevel="2"/>
    <col min="55" max="55" width="8.7109375" customWidth="1" outlineLevel="2"/>
    <col min="56" max="56" width="12.85546875" customWidth="1" outlineLevel="2"/>
    <col min="57" max="58" width="9.140625" customWidth="1" outlineLevel="2"/>
  </cols>
  <sheetData>
    <row r="1" spans="1:50" s="159" customFormat="1" ht="33.75" customHeight="1" x14ac:dyDescent="0.2">
      <c r="A1" s="754"/>
      <c r="B1" s="791" t="s">
        <v>1027</v>
      </c>
      <c r="C1" s="754"/>
      <c r="D1" s="754"/>
      <c r="E1" s="754"/>
      <c r="F1" s="754"/>
      <c r="H1" s="754"/>
      <c r="I1" s="754"/>
      <c r="J1" s="754"/>
      <c r="K1" s="754"/>
      <c r="L1" s="754"/>
      <c r="M1" s="754"/>
      <c r="N1" s="754"/>
      <c r="O1" s="754"/>
      <c r="P1" s="754"/>
      <c r="Q1" s="755"/>
      <c r="R1" s="1055"/>
      <c r="S1" s="1055"/>
      <c r="T1" s="754"/>
      <c r="AD1" s="811" t="s">
        <v>1005</v>
      </c>
      <c r="AE1" s="544" t="s">
        <v>413</v>
      </c>
      <c r="AF1" s="544" t="s">
        <v>955</v>
      </c>
      <c r="AG1" s="544" t="s">
        <v>410</v>
      </c>
      <c r="AH1" s="544" t="s">
        <v>956</v>
      </c>
      <c r="AI1" s="544" t="s">
        <v>970</v>
      </c>
      <c r="AJ1" s="544" t="s">
        <v>957</v>
      </c>
      <c r="AK1" s="544" t="s">
        <v>963</v>
      </c>
      <c r="AL1" s="544" t="s">
        <v>958</v>
      </c>
      <c r="AM1" s="544" t="s">
        <v>964</v>
      </c>
      <c r="AN1" s="544" t="s">
        <v>959</v>
      </c>
      <c r="AO1" s="544" t="s">
        <v>941</v>
      </c>
      <c r="AP1" s="544" t="s">
        <v>942</v>
      </c>
      <c r="AQ1" s="544" t="s">
        <v>943</v>
      </c>
      <c r="AR1" s="544" t="s">
        <v>500</v>
      </c>
      <c r="AS1" s="544" t="s">
        <v>960</v>
      </c>
      <c r="AT1" s="544" t="s">
        <v>603</v>
      </c>
      <c r="AU1" s="544" t="s">
        <v>961</v>
      </c>
      <c r="AV1" s="544" t="s">
        <v>962</v>
      </c>
      <c r="AW1" s="544" t="s">
        <v>969</v>
      </c>
    </row>
    <row r="2" spans="1:50" ht="14.25" customHeight="1" thickBot="1" x14ac:dyDescent="0.25">
      <c r="A2" s="755"/>
      <c r="B2" s="756"/>
      <c r="D2" s="790"/>
      <c r="E2" s="762"/>
      <c r="F2" s="762"/>
      <c r="G2" s="762"/>
      <c r="H2" s="762"/>
      <c r="I2" s="762"/>
      <c r="J2" s="745"/>
      <c r="K2" s="762"/>
      <c r="L2" s="762"/>
      <c r="M2" s="762"/>
      <c r="N2" s="762"/>
      <c r="O2" s="762"/>
      <c r="P2" s="762"/>
      <c r="Q2" s="758"/>
      <c r="R2" s="757"/>
      <c r="S2" s="759"/>
      <c r="T2" s="755"/>
      <c r="AC2" s="479"/>
      <c r="AD2" s="815" t="s">
        <v>186</v>
      </c>
      <c r="AE2" s="816">
        <v>14</v>
      </c>
      <c r="AF2" s="816" t="s">
        <v>170</v>
      </c>
      <c r="AG2" s="816" t="s">
        <v>967</v>
      </c>
      <c r="AH2" s="817"/>
      <c r="AI2" s="817"/>
      <c r="AJ2" s="816" t="s">
        <v>968</v>
      </c>
      <c r="AK2" s="816" t="s">
        <v>417</v>
      </c>
      <c r="AL2" s="817"/>
      <c r="AM2" s="817"/>
      <c r="AN2" s="817"/>
      <c r="AO2" s="816" t="s">
        <v>417</v>
      </c>
      <c r="AP2" s="817"/>
      <c r="AQ2" s="816" t="s">
        <v>417</v>
      </c>
      <c r="AR2" s="816" t="s">
        <v>417</v>
      </c>
      <c r="AS2" s="816" t="s">
        <v>417</v>
      </c>
      <c r="AT2" s="817"/>
      <c r="AU2" s="817"/>
      <c r="AV2" s="816" t="s">
        <v>417</v>
      </c>
      <c r="AW2" s="817"/>
      <c r="AX2" s="482" t="s">
        <v>186</v>
      </c>
    </row>
    <row r="3" spans="1:50" ht="30.75" customHeight="1" thickBot="1" x14ac:dyDescent="0.25">
      <c r="B3" s="763"/>
      <c r="C3" s="1066"/>
      <c r="D3" s="1066"/>
      <c r="E3" s="768"/>
      <c r="F3" s="768"/>
      <c r="G3" s="1067" t="s">
        <v>1020</v>
      </c>
      <c r="H3" s="1067"/>
      <c r="I3" s="1068"/>
      <c r="J3" s="743"/>
      <c r="K3" s="763"/>
      <c r="L3" s="1056"/>
      <c r="M3" s="1056"/>
      <c r="N3" s="753"/>
      <c r="O3" s="753"/>
      <c r="P3" s="1067" t="s">
        <v>1019</v>
      </c>
      <c r="Q3" s="1067"/>
      <c r="R3" s="1068"/>
      <c r="S3" s="759"/>
      <c r="T3" s="755"/>
      <c r="AC3" s="479"/>
      <c r="AD3" s="815" t="s">
        <v>81</v>
      </c>
      <c r="AE3" s="816">
        <v>14</v>
      </c>
      <c r="AF3" s="816" t="s">
        <v>166</v>
      </c>
      <c r="AG3" s="816" t="s">
        <v>973</v>
      </c>
      <c r="AH3" s="817"/>
      <c r="AI3" s="817"/>
      <c r="AJ3" s="816" t="s">
        <v>968</v>
      </c>
      <c r="AK3" s="816" t="s">
        <v>417</v>
      </c>
      <c r="AL3" s="817"/>
      <c r="AM3" s="817"/>
      <c r="AN3" s="817"/>
      <c r="AO3" s="816" t="s">
        <v>417</v>
      </c>
      <c r="AP3" s="817"/>
      <c r="AQ3" s="817"/>
      <c r="AR3" s="817"/>
      <c r="AS3" s="816" t="s">
        <v>417</v>
      </c>
      <c r="AT3" s="817"/>
      <c r="AU3" s="817"/>
      <c r="AV3" s="817"/>
      <c r="AW3" s="816" t="s">
        <v>417</v>
      </c>
      <c r="AX3" s="482" t="s">
        <v>81</v>
      </c>
    </row>
    <row r="4" spans="1:50" ht="20.100000000000001" customHeight="1" thickTop="1" thickBot="1" x14ac:dyDescent="0.3">
      <c r="B4" s="765"/>
      <c r="C4" s="35"/>
      <c r="D4" s="35"/>
      <c r="E4" s="760"/>
      <c r="F4" s="738"/>
      <c r="G4" s="751" t="s">
        <v>301</v>
      </c>
      <c r="H4" s="751" t="s">
        <v>965</v>
      </c>
      <c r="I4" s="766" t="s">
        <v>248</v>
      </c>
      <c r="J4" s="738"/>
      <c r="K4" s="764"/>
      <c r="L4" s="1063"/>
      <c r="M4" s="1063"/>
      <c r="N4" s="767"/>
      <c r="O4" s="767"/>
      <c r="P4" s="751" t="s">
        <v>301</v>
      </c>
      <c r="Q4" s="751" t="s">
        <v>275</v>
      </c>
      <c r="R4" s="766" t="s">
        <v>996</v>
      </c>
      <c r="S4" s="759"/>
      <c r="T4" s="755"/>
      <c r="AC4" s="479"/>
      <c r="AD4" s="815" t="s">
        <v>191</v>
      </c>
      <c r="AE4" s="816">
        <v>15</v>
      </c>
      <c r="AF4" s="816" t="s">
        <v>170</v>
      </c>
      <c r="AG4" s="816" t="s">
        <v>1018</v>
      </c>
      <c r="AH4" s="817"/>
      <c r="AI4" s="817"/>
      <c r="AJ4" s="816" t="s">
        <v>968</v>
      </c>
      <c r="AK4" s="816" t="s">
        <v>417</v>
      </c>
      <c r="AL4" s="817"/>
      <c r="AM4" s="817"/>
      <c r="AN4" s="817"/>
      <c r="AO4" s="817"/>
      <c r="AP4" s="817"/>
      <c r="AQ4" s="816" t="s">
        <v>417</v>
      </c>
      <c r="AR4" s="817"/>
      <c r="AS4" s="816" t="s">
        <v>417</v>
      </c>
      <c r="AT4" s="817"/>
      <c r="AU4" s="817"/>
      <c r="AV4" s="817"/>
      <c r="AW4" s="817"/>
      <c r="AX4" s="482" t="s">
        <v>191</v>
      </c>
    </row>
    <row r="5" spans="1:50" ht="20.100000000000001" customHeight="1" thickTop="1" x14ac:dyDescent="0.2">
      <c r="B5" s="1060" t="s">
        <v>948</v>
      </c>
      <c r="C5" s="1054" t="s">
        <v>935</v>
      </c>
      <c r="D5" s="1054"/>
      <c r="E5" s="1042"/>
      <c r="F5" s="1042"/>
      <c r="G5" s="783">
        <f>IF(INDEX(AE2:AE21,MATCH($G$4,AD2:AD21,0))=0,"",INDEX(AE2:AE21,MATCH($G$4,AD2:AD21,0)))</f>
        <v>16</v>
      </c>
      <c r="H5" s="776">
        <f>IF(INDEX(AE2:AE21,MATCH($H$4,AD2:AD21,0))=0,"",INDEX(AE2:AE21,MATCH($H$4,AD2:AD21,0)))</f>
        <v>16</v>
      </c>
      <c r="I5" s="779">
        <f>IF(INDEX(AE2:AE21,MATCH($I$4,AD2:AD21,0))=0,"",INDEX(AE2:AE21,MATCH($I$4,AD2:AD21,0)))</f>
        <v>16</v>
      </c>
      <c r="J5" s="761"/>
      <c r="K5" s="1060" t="s">
        <v>948</v>
      </c>
      <c r="L5" s="1054" t="s">
        <v>935</v>
      </c>
      <c r="M5" s="1054"/>
      <c r="N5" s="1042"/>
      <c r="O5" s="1042"/>
      <c r="P5" s="782">
        <f>IF(INDEX(AE24:AE40,MATCH($P$4,AD24:AD40,0))=0,"",INDEX(AE24:AE40,MATCH($P$4,AD24:AD40,0)))</f>
        <v>16</v>
      </c>
      <c r="Q5" s="782">
        <f>IF(INDEX($AE$24:$AE$40,MATCH($Q$4,$AD$24:$AD$40,0))=0,"",INDEX(AE24:AE40,MATCH($Q$4,$AD$24:$AD$40,0)))</f>
        <v>17</v>
      </c>
      <c r="R5" s="798">
        <f>IF(INDEX($AE$24:$AE$40,MATCH($R$4,$AD$24:$AD$40,0))=0,"",INDEX($AE$24:$AE$40,MATCH($R$4,$AD$24:$AD$40,0)))</f>
        <v>16</v>
      </c>
      <c r="S5" s="759"/>
      <c r="T5" s="755"/>
      <c r="AC5" s="479"/>
      <c r="AD5" s="815" t="s">
        <v>965</v>
      </c>
      <c r="AE5" s="816">
        <v>16</v>
      </c>
      <c r="AF5" s="816" t="s">
        <v>171</v>
      </c>
      <c r="AG5" s="816" t="s">
        <v>972</v>
      </c>
      <c r="AH5" s="817"/>
      <c r="AI5" s="817"/>
      <c r="AJ5" s="816" t="s">
        <v>422</v>
      </c>
      <c r="AK5" s="816" t="s">
        <v>417</v>
      </c>
      <c r="AL5" s="817"/>
      <c r="AM5" s="816" t="s">
        <v>417</v>
      </c>
      <c r="AN5" s="817"/>
      <c r="AO5" s="816" t="s">
        <v>417</v>
      </c>
      <c r="AP5" s="817"/>
      <c r="AQ5" s="816" t="s">
        <v>417</v>
      </c>
      <c r="AR5" s="816" t="s">
        <v>417</v>
      </c>
      <c r="AS5" s="816" t="s">
        <v>417</v>
      </c>
      <c r="AT5" s="817"/>
      <c r="AU5" s="817"/>
      <c r="AV5" s="816" t="s">
        <v>417</v>
      </c>
      <c r="AW5" s="817"/>
      <c r="AX5" s="482" t="s">
        <v>965</v>
      </c>
    </row>
    <row r="6" spans="1:50" ht="20.100000000000001" customHeight="1" x14ac:dyDescent="0.2">
      <c r="B6" s="1060"/>
      <c r="C6" s="1042" t="s">
        <v>951</v>
      </c>
      <c r="D6" s="1042"/>
      <c r="E6" s="1042"/>
      <c r="F6" s="1042"/>
      <c r="G6" s="782" t="str">
        <f>IF(INDEX(AF2:AF21,MATCH($G$4,AD2:AD21,0))=0,"",INDEX(AF2:AF21,MATCH($G$4,AD2:AD21,0)))</f>
        <v>High</v>
      </c>
      <c r="H6" s="777" t="str">
        <f>IF(INDEX(AF2:AF21,MATCH($H$4,AD2:AD21,0))=0,"",INDEX(AF2:AF21,MATCH($H$4,AD2:AD21,0)))</f>
        <v>High</v>
      </c>
      <c r="I6" s="780" t="str">
        <f>IF(INDEX(AF2:AF21,MATCH($I$4,AD2:AD21,0))=0,"",INDEX(AF2:AF21,MATCH($I$4,AD2:AD21,0)))</f>
        <v>Low</v>
      </c>
      <c r="J6" s="744"/>
      <c r="K6" s="1060"/>
      <c r="L6" s="1042" t="s">
        <v>951</v>
      </c>
      <c r="M6" s="1042"/>
      <c r="N6" s="1042"/>
      <c r="O6" s="1042"/>
      <c r="P6" s="782" t="str">
        <f>IF(INDEX(AF24:AF40,MATCH($P$4,AD24:AD40,0))=0,"",INDEX(AF24:AF40,MATCH($P$4,AD24:AD40,0)))</f>
        <v>High</v>
      </c>
      <c r="Q6" s="782" t="str">
        <f>IF(INDEX(AF24:AF40,MATCH($Q$4,AD24:AD40,0))=0,"",INDEX(AF24:AF40,MATCH($Q$4,AD24:AD40,0)))</f>
        <v>Med</v>
      </c>
      <c r="R6" s="799" t="str">
        <f>IF(INDEX($AF$24:$AF$40,MATCH($R$4,$AD$24:$AD$40,0))=0,"",INDEX($AF$24:$AF$40,MATCH($R$4,$AD$24:$AD$40,0)))</f>
        <v>Med</v>
      </c>
      <c r="S6" s="759"/>
      <c r="T6" s="755"/>
      <c r="AC6" s="479"/>
      <c r="AD6" s="815" t="s">
        <v>201</v>
      </c>
      <c r="AE6" s="816">
        <v>16</v>
      </c>
      <c r="AF6" s="816" t="s">
        <v>171</v>
      </c>
      <c r="AG6" s="816" t="s">
        <v>974</v>
      </c>
      <c r="AH6" s="816" t="s">
        <v>417</v>
      </c>
      <c r="AI6" s="817"/>
      <c r="AJ6" s="816" t="s">
        <v>448</v>
      </c>
      <c r="AK6" s="817"/>
      <c r="AL6" s="817"/>
      <c r="AM6" s="817"/>
      <c r="AN6" s="817"/>
      <c r="AO6" s="817"/>
      <c r="AP6" s="817"/>
      <c r="AQ6" s="817"/>
      <c r="AR6" s="816" t="s">
        <v>417</v>
      </c>
      <c r="AS6" s="817"/>
      <c r="AT6" s="816" t="s">
        <v>417</v>
      </c>
      <c r="AU6" s="817"/>
      <c r="AV6" s="817"/>
      <c r="AW6" s="817"/>
      <c r="AX6" s="482" t="s">
        <v>201</v>
      </c>
    </row>
    <row r="7" spans="1:50" ht="20.100000000000001" customHeight="1" x14ac:dyDescent="0.2">
      <c r="B7" s="1060"/>
      <c r="C7" s="1040" t="s">
        <v>952</v>
      </c>
      <c r="D7" s="1040"/>
      <c r="E7" s="1040"/>
      <c r="F7" s="1040"/>
      <c r="G7" s="782" t="str">
        <f>IF(INDEX(AG2:AG21,MATCH($G$4,AD2:AD21,0))=0,"",INDEX(AG2:AG21,MATCH($G$4,AD2:AD21,0)))</f>
        <v>10—27</v>
      </c>
      <c r="H7" s="777" t="str">
        <f>IF(INDEX(AG2:AG21,MATCH($H$4,AD2:AD21,0))=0,"",INDEX(AG2:AG21,MATCH($H$4,AD2:AD21,0)))</f>
        <v>15—25</v>
      </c>
      <c r="I7" s="780" t="str">
        <f>IF(INDEX(AG2:AG21,MATCH($I$4,AD2:AD21,0))=0,"",INDEX(AG2:AG21,MATCH($I$4,AD2:AD21,0)))</f>
        <v>14—28</v>
      </c>
      <c r="J7" s="744"/>
      <c r="K7" s="1060"/>
      <c r="L7" s="1040" t="s">
        <v>952</v>
      </c>
      <c r="M7" s="1040"/>
      <c r="N7" s="1040"/>
      <c r="O7" s="1040"/>
      <c r="P7" s="782" t="str">
        <f>IF(INDEX(AG24:AG40,MATCH($P$4,AD24:AD40,0))=0,"",INDEX(AG24:AG40,MATCH($P$4,AD24:AD40,0)))</f>
        <v>10—27</v>
      </c>
      <c r="Q7" s="773" t="str">
        <f>IF(INDEX(AG24:AG40,MATCH($Q$4,AD24:AD40,0))=0,"",INDEX(AG24:AG40,MATCH($Q$4,AD24:AD40,0)))</f>
        <v>20—30</v>
      </c>
      <c r="R7" s="800" t="str">
        <f>IF(INDEX($AG$24:$AG$40,MATCH($R$4,$AD$24:$AD$40,0))=0,"",INDEX($AG$24:$AG$40,MATCH($R$4,$AD$24:$AD$40,0)))</f>
        <v>15—32</v>
      </c>
      <c r="S7" s="759"/>
      <c r="T7" s="755"/>
      <c r="U7" s="742"/>
      <c r="V7" s="742"/>
      <c r="W7" s="742"/>
      <c r="X7" s="742"/>
      <c r="Y7" s="742"/>
      <c r="Z7" s="742"/>
      <c r="AA7" s="742"/>
      <c r="AB7" s="742"/>
      <c r="AC7" s="479"/>
      <c r="AD7" s="815" t="s">
        <v>966</v>
      </c>
      <c r="AE7" s="816">
        <v>15</v>
      </c>
      <c r="AF7" s="816" t="s">
        <v>171</v>
      </c>
      <c r="AG7" s="816" t="s">
        <v>510</v>
      </c>
      <c r="AH7" s="817"/>
      <c r="AI7" s="817"/>
      <c r="AJ7" s="816" t="s">
        <v>427</v>
      </c>
      <c r="AK7" s="817"/>
      <c r="AL7" s="817"/>
      <c r="AM7" s="817"/>
      <c r="AN7" s="817"/>
      <c r="AO7" s="817"/>
      <c r="AP7" s="817"/>
      <c r="AQ7" s="817"/>
      <c r="AR7" s="816" t="s">
        <v>417</v>
      </c>
      <c r="AS7" s="817"/>
      <c r="AT7" s="816" t="s">
        <v>417</v>
      </c>
      <c r="AU7" s="817"/>
      <c r="AV7" s="817"/>
      <c r="AW7" s="817"/>
      <c r="AX7" s="482" t="s">
        <v>966</v>
      </c>
    </row>
    <row r="8" spans="1:50" ht="20.100000000000001" customHeight="1" x14ac:dyDescent="0.2">
      <c r="B8" s="1060"/>
      <c r="C8" s="1042" t="s">
        <v>936</v>
      </c>
      <c r="D8" s="1042"/>
      <c r="E8" s="1042"/>
      <c r="F8" s="1042"/>
      <c r="G8" s="782" t="str">
        <f>IF(INDEX(AH2:AH21,MATCH($G$4,AD2:AD21,0))=0,"",INDEX(AH2:AH21,MATCH($G$4,AD2:AD21,0)))</f>
        <v/>
      </c>
      <c r="H8" s="777" t="str">
        <f>IF(INDEX($AH$2:$AH$21,MATCH(H$4,$AD$2:$AD$21,0))=0,"",INDEX($AH$2:$AH$21,MATCH(H$4,$AD$2:$AD$21,0)))</f>
        <v/>
      </c>
      <c r="I8" s="780" t="str">
        <f>IF(INDEX($AH$2:$AH$21,MATCH(I$4,$AD$2:$AD$21,0))=0,"",INDEX($AH$2:$AH$21,MATCH(I$4,$AD$2:$AD$21,0)))</f>
        <v/>
      </c>
      <c r="J8" s="744"/>
      <c r="K8" s="1060"/>
      <c r="L8" s="1042" t="s">
        <v>981</v>
      </c>
      <c r="M8" s="1042"/>
      <c r="N8" s="1042"/>
      <c r="O8" s="1042"/>
      <c r="P8" s="782" t="str">
        <f>IF(INDEX(AH24:AH40,MATCH($P$4,AD24:AD40,0))=0,"",INDEX(AH24:AH40,MATCH($P$4,AD24:AD40,0)))</f>
        <v/>
      </c>
      <c r="Q8" s="773" t="str">
        <f>IF(INDEX(AH24:AH40,MATCH($Q$4,AD24:AD40,0))=0,"",INDEX(AH24:AH40,MATCH($Q$4,AD24:AD40,0)))</f>
        <v/>
      </c>
      <c r="R8" s="800" t="str">
        <f>IF(INDEX($AH$24:$AH$40,MATCH($R$4,$AD$24:$AD$40,0))=0,"",INDEX($AH$24:$AH$40,MATCH($R$4,$AD$24:$AD$40,0)))</f>
        <v/>
      </c>
      <c r="S8" s="759"/>
      <c r="T8" s="755"/>
      <c r="AC8" s="479"/>
      <c r="AD8" s="815" t="s">
        <v>460</v>
      </c>
      <c r="AE8" s="816">
        <v>15</v>
      </c>
      <c r="AF8" s="816" t="s">
        <v>171</v>
      </c>
      <c r="AG8" s="816" t="s">
        <v>972</v>
      </c>
      <c r="AH8" s="816" t="s">
        <v>417</v>
      </c>
      <c r="AI8" s="817"/>
      <c r="AJ8" s="816" t="s">
        <v>422</v>
      </c>
      <c r="AK8" s="816" t="s">
        <v>417</v>
      </c>
      <c r="AL8" s="817"/>
      <c r="AM8" s="817"/>
      <c r="AN8" s="817"/>
      <c r="AO8" s="816" t="s">
        <v>417</v>
      </c>
      <c r="AP8" s="816" t="s">
        <v>417</v>
      </c>
      <c r="AQ8" s="817"/>
      <c r="AR8" s="816" t="s">
        <v>417</v>
      </c>
      <c r="AS8" s="817"/>
      <c r="AT8" s="816" t="s">
        <v>417</v>
      </c>
      <c r="AU8" s="817"/>
      <c r="AV8" s="816" t="s">
        <v>417</v>
      </c>
      <c r="AW8" s="817"/>
      <c r="AX8" s="482" t="s">
        <v>460</v>
      </c>
    </row>
    <row r="9" spans="1:50" ht="20.100000000000001" customHeight="1" x14ac:dyDescent="0.2">
      <c r="B9" s="1060"/>
      <c r="C9" s="1042" t="s">
        <v>937</v>
      </c>
      <c r="D9" s="1042"/>
      <c r="E9" s="1042"/>
      <c r="F9" s="493"/>
      <c r="G9" s="782" t="str">
        <f>IF(INDEX(AI2:AI21,MATCH($G$4,AD2:AD21,0))=0,"",INDEX(AI2:AI21,MATCH($G$4,AD2:AD21,0)))</f>
        <v/>
      </c>
      <c r="H9" s="777" t="str">
        <f>IF(INDEX($AI$2:$AI$21,MATCH(H$4,$AD$2:$AD$21,0))=0,"",INDEX($AI$2:$AI$21,MATCH(H$4,$AD$2:$AD$21,0)))</f>
        <v/>
      </c>
      <c r="I9" s="780" t="str">
        <f>IF(INDEX(AI2:AI21,MATCH($I$4,AD2:AD21,0))=0,"",INDEX(AI2:AI21,MATCH($I$4,AD2:AD21,0)))</f>
        <v/>
      </c>
      <c r="J9" s="744"/>
      <c r="K9" s="1060"/>
      <c r="L9" s="1042" t="s">
        <v>937</v>
      </c>
      <c r="M9" s="1042"/>
      <c r="N9" s="1042"/>
      <c r="O9" s="493"/>
      <c r="P9" s="782" t="str">
        <f>IF(INDEX(AI24:AI40,MATCH($P$4,AD24:AD40,0))=0,"",INDEX(AI24:AI40,MATCH($P$4,AD24:AD40,0)))</f>
        <v/>
      </c>
      <c r="Q9" s="773" t="str">
        <f>IF(INDEX(AI24:AI40,MATCH($Q$4,AD24:AD40,0))=0,"",INDEX(AI24:AI40,MATCH($Q$4,AD24:AD40,0)))</f>
        <v/>
      </c>
      <c r="R9" s="800" t="str">
        <f>IF(INDEX($AI$24:$AI$40,MATCH($R$4,$AD$24:$AD$40,0))=0,"",INDEX($AI$24:$AI$40,MATCH($R$4,$AD$24:$AD$40,0)))</f>
        <v/>
      </c>
      <c r="S9" s="759"/>
      <c r="T9" s="755"/>
      <c r="AC9" s="479"/>
      <c r="AD9" s="815" t="s">
        <v>230</v>
      </c>
      <c r="AE9" s="816">
        <v>18</v>
      </c>
      <c r="AF9" s="816" t="s">
        <v>166</v>
      </c>
      <c r="AG9" s="816" t="s">
        <v>975</v>
      </c>
      <c r="AH9" s="817"/>
      <c r="AI9" s="817"/>
      <c r="AJ9" s="816" t="s">
        <v>422</v>
      </c>
      <c r="AK9" s="817"/>
      <c r="AL9" s="817"/>
      <c r="AM9" s="817"/>
      <c r="AN9" s="817"/>
      <c r="AO9" s="817"/>
      <c r="AP9" s="817"/>
      <c r="AQ9" s="817"/>
      <c r="AR9" s="817"/>
      <c r="AS9" s="817"/>
      <c r="AT9" s="816" t="s">
        <v>417</v>
      </c>
      <c r="AU9" s="816" t="s">
        <v>417</v>
      </c>
      <c r="AV9" s="816" t="s">
        <v>417</v>
      </c>
      <c r="AW9" s="817"/>
      <c r="AX9" s="482" t="s">
        <v>230</v>
      </c>
    </row>
    <row r="10" spans="1:50" ht="20.100000000000001" customHeight="1" thickBot="1" x14ac:dyDescent="0.25">
      <c r="B10" s="1060"/>
      <c r="C10" s="1080" t="s">
        <v>938</v>
      </c>
      <c r="D10" s="1081"/>
      <c r="E10" s="1081"/>
      <c r="F10" s="1081"/>
      <c r="G10" s="784" t="str">
        <f>IF(INDEX(AJ2:AJ21,MATCH($G$4,AD2:AD21,0))=0,"",INDEX(AJ2:AJ21,MATCH($G$4,AD2:AD21,0)))</f>
        <v>Very good</v>
      </c>
      <c r="H10" s="778" t="str">
        <f>IF(INDEX(AJ2:AJ21,MATCH($H$4,AD2:AD21,0))=0,"",INDEX(AJ2:AJ21,MATCH($H$4,AD2:AD21,0)))</f>
        <v>Good</v>
      </c>
      <c r="I10" s="781" t="str">
        <f>IF(INDEX(AJ2:AJ21,MATCH($I$4,AD2:AD21,0))=0,"",INDEX(AJ2:AJ21,MATCH($I$4,AD2:AD21,0)))</f>
        <v>Very good</v>
      </c>
      <c r="J10" s="744"/>
      <c r="K10" s="1060"/>
      <c r="L10" s="1080" t="s">
        <v>938</v>
      </c>
      <c r="M10" s="1081"/>
      <c r="N10" s="1081"/>
      <c r="O10" s="1081"/>
      <c r="P10" s="784" t="str">
        <f>IF(INDEX(AJ24:AJ40,MATCH($P$4,$AD$24:$AD$40,0))=0,"",INDEX(AJ$24:AJ$40,MATCH($P$4,AD24:AD40,0)))</f>
        <v>Very good</v>
      </c>
      <c r="Q10" s="773" t="str">
        <f>IF(INDEX(AJ24:AJ40,MATCH($Q$4,AD24:AD40,0))=0,"",INDEX(AJ24:AJ40,MATCH($Q$4,AD24:AD40,0)))</f>
        <v>Good</v>
      </c>
      <c r="R10" s="802" t="str">
        <f>IF(INDEX($AJ$24:$AJ$40,MATCH($R$4,$AD$24:$AD$40,0))=0,"",INDEX($AJ$24:$AJ$40,MATCH($R$4,$AD$24:$AD$40,0)))</f>
        <v>Average</v>
      </c>
      <c r="S10" s="759"/>
      <c r="T10" s="755"/>
      <c r="AC10" s="479"/>
      <c r="AD10" s="818">
        <v>1118</v>
      </c>
      <c r="AE10" s="816">
        <v>18</v>
      </c>
      <c r="AF10" s="816" t="s">
        <v>166</v>
      </c>
      <c r="AG10" s="816" t="s">
        <v>976</v>
      </c>
      <c r="AH10" s="817"/>
      <c r="AI10" s="817"/>
      <c r="AJ10" s="816" t="s">
        <v>427</v>
      </c>
      <c r="AK10" s="817"/>
      <c r="AL10" s="817"/>
      <c r="AM10" s="817"/>
      <c r="AN10" s="817"/>
      <c r="AO10" s="817"/>
      <c r="AP10" s="817"/>
      <c r="AQ10" s="817"/>
      <c r="AR10" s="817"/>
      <c r="AS10" s="817"/>
      <c r="AT10" s="817"/>
      <c r="AU10" s="817"/>
      <c r="AV10" s="817"/>
      <c r="AW10" s="817"/>
      <c r="AX10" s="737">
        <v>1118</v>
      </c>
    </row>
    <row r="11" spans="1:50" ht="20.100000000000001" customHeight="1" thickTop="1" x14ac:dyDescent="0.2">
      <c r="B11" s="1061" t="s">
        <v>949</v>
      </c>
      <c r="C11" s="1077" t="s">
        <v>953</v>
      </c>
      <c r="D11" s="1078"/>
      <c r="E11" s="1078"/>
      <c r="F11" s="1078"/>
      <c r="G11" s="830" t="str">
        <f>IF(INDEX(AK$2:AK$21,MATCH($G$4,$AD$2:$AD$21,0))=0,"",INDEX(AK$2:AK$21,MATCH($G$4,$AD$2:$AD$21,0)))</f>
        <v>§</v>
      </c>
      <c r="H11" s="830" t="str">
        <f>IF(INDEX(AK$2:AK$21,MATCH($H$4,$AD$2:$AD$21,0))=0,"",INDEX(AK$2:AK$21,MATCH($H$4,$AD$2:$AD$21,0)))</f>
        <v>§</v>
      </c>
      <c r="I11" s="779" t="str">
        <f>IF(INDEX(AK$2:AK$21,MATCH($I$4,$AD$2:$AD$21,0))=0,"",INDEX(AK$2:AK$21,MATCH($I$4,$AD$2:$AD$21,0)))</f>
        <v>§</v>
      </c>
      <c r="J11" s="744"/>
      <c r="K11" s="1061" t="s">
        <v>949</v>
      </c>
      <c r="L11" s="1077" t="s">
        <v>982</v>
      </c>
      <c r="M11" s="1078"/>
      <c r="N11" s="1078"/>
      <c r="O11" s="1078"/>
      <c r="P11" s="830" t="str">
        <f>IF(INDEX(AK$24:AK$40,MATCH($P$4,$AD$24:$AD$40,0))=0,"",INDEX(AK$24:AK$40,MATCH($P$4,AD24:AD40,0)))</f>
        <v/>
      </c>
      <c r="Q11" s="785" t="str">
        <f>IF(INDEX(AK$24:AK$40,MATCH($Q$4,$AD$24:$AD$40,0))=0,"",INDEX(AK$24:AK$40,MATCH($Q$4,AD24:AD40,0)))</f>
        <v/>
      </c>
      <c r="R11" s="801" t="str">
        <f>IF(INDEX($AK$24:$AK$40,MATCH($R$4,$AD$24:$AD$40,0))=0,"",INDEX($AK$24:$AK$40,MATCH($R$4,$AD$24:$AD$40,0)))</f>
        <v/>
      </c>
      <c r="S11" s="759"/>
      <c r="T11" s="755"/>
      <c r="AC11" s="479"/>
      <c r="AD11" s="815" t="s">
        <v>218</v>
      </c>
      <c r="AE11" s="816">
        <v>16</v>
      </c>
      <c r="AF11" s="816" t="s">
        <v>166</v>
      </c>
      <c r="AG11" s="816" t="s">
        <v>506</v>
      </c>
      <c r="AH11" s="816" t="s">
        <v>417</v>
      </c>
      <c r="AI11" s="817"/>
      <c r="AJ11" s="816" t="s">
        <v>422</v>
      </c>
      <c r="AK11" s="816" t="s">
        <v>417</v>
      </c>
      <c r="AL11" s="817"/>
      <c r="AM11" s="817"/>
      <c r="AN11" s="817"/>
      <c r="AO11" s="817"/>
      <c r="AP11" s="817"/>
      <c r="AQ11" s="817"/>
      <c r="AR11" s="816" t="s">
        <v>417</v>
      </c>
      <c r="AS11" s="816" t="s">
        <v>417</v>
      </c>
      <c r="AT11" s="816" t="s">
        <v>417</v>
      </c>
      <c r="AU11" s="817"/>
      <c r="AV11" s="816" t="s">
        <v>417</v>
      </c>
      <c r="AW11" s="816" t="s">
        <v>417</v>
      </c>
      <c r="AX11" s="482" t="s">
        <v>218</v>
      </c>
    </row>
    <row r="12" spans="1:50" ht="20.100000000000001" customHeight="1" x14ac:dyDescent="0.2">
      <c r="B12" s="1061"/>
      <c r="C12" s="1041" t="s">
        <v>939</v>
      </c>
      <c r="D12" s="1042"/>
      <c r="E12" s="1042"/>
      <c r="F12" s="1042"/>
      <c r="G12" s="773" t="str">
        <f>IF(INDEX(AL$2:AL$21,MATCH($G$4,$AD$2:$AD$21,0))=0,"",INDEX(AL$2:AL$21,MATCH($G$4,$AD$2:$AD$21,0)))</f>
        <v/>
      </c>
      <c r="H12" s="777" t="str">
        <f>IF(INDEX(AL$2:AL$21,MATCH($H$4,$AD$2:$AD$21,0))=0,"",INDEX(AL$2:AL$21,MATCH($H$4,$AD$2:$AD$21,0)))</f>
        <v/>
      </c>
      <c r="I12" s="780" t="str">
        <f>IF(INDEX(AL$2:AL$21,MATCH($I$4,$AD$2:$AD$21,0))=0,"",INDEX(AL$2:AL$21,MATCH($I$4,$AD$2:$AD$21,0)))</f>
        <v/>
      </c>
      <c r="J12" s="744"/>
      <c r="K12" s="1061"/>
      <c r="L12" s="1041" t="s">
        <v>941</v>
      </c>
      <c r="M12" s="1042"/>
      <c r="N12" s="1042"/>
      <c r="O12" s="1042"/>
      <c r="P12" s="777" t="str">
        <f>IF(INDEX(AL24:AL40,MATCH($P$4,$AD$24:$AD$40,0))=0,"",INDEX(AL$24:AL$40,MATCH($P$4,AD$24:AD$40,0)))</f>
        <v/>
      </c>
      <c r="Q12" s="786" t="str">
        <f>IF(INDEX(AL24:AL40,MATCH($Q$4,$AD$24:$AD$40,0))=0,"",INDEX(AL$24:AL$40,MATCH($Q$4,AD$24:AD$40,0)))</f>
        <v/>
      </c>
      <c r="R12" s="800" t="str">
        <f>IF(INDEX($AL$24:$AL$40,MATCH($R$4,$AD$24:$AD$40,0))=0,"",INDEX($AL$24:$AL$40,MATCH($R$4,$AD$24:$AD$40,0)))</f>
        <v>§</v>
      </c>
      <c r="S12" s="759"/>
      <c r="T12" s="755"/>
      <c r="AC12" s="479"/>
      <c r="AD12" s="815" t="s">
        <v>225</v>
      </c>
      <c r="AE12" s="816">
        <v>15</v>
      </c>
      <c r="AF12" s="816" t="s">
        <v>166</v>
      </c>
      <c r="AG12" s="816" t="s">
        <v>506</v>
      </c>
      <c r="AH12" s="816" t="s">
        <v>417</v>
      </c>
      <c r="AI12" s="817"/>
      <c r="AJ12" s="816" t="s">
        <v>968</v>
      </c>
      <c r="AK12" s="816" t="s">
        <v>417</v>
      </c>
      <c r="AL12" s="817"/>
      <c r="AM12" s="817"/>
      <c r="AN12" s="816" t="s">
        <v>417</v>
      </c>
      <c r="AO12" s="816" t="s">
        <v>417</v>
      </c>
      <c r="AP12" s="817"/>
      <c r="AQ12" s="817"/>
      <c r="AR12" s="816" t="s">
        <v>417</v>
      </c>
      <c r="AS12" s="816" t="s">
        <v>417</v>
      </c>
      <c r="AT12" s="816" t="s">
        <v>417</v>
      </c>
      <c r="AU12" s="817"/>
      <c r="AV12" s="816" t="s">
        <v>417</v>
      </c>
      <c r="AW12" s="816" t="s">
        <v>417</v>
      </c>
      <c r="AX12" s="482" t="s">
        <v>225</v>
      </c>
    </row>
    <row r="13" spans="1:50" ht="20.100000000000001" customHeight="1" x14ac:dyDescent="0.2">
      <c r="B13" s="1061"/>
      <c r="C13" s="749" t="s">
        <v>954</v>
      </c>
      <c r="D13" s="750"/>
      <c r="E13" s="750"/>
      <c r="F13" s="750"/>
      <c r="G13" s="773" t="str">
        <f>IF(INDEX(AM$2:AM$21,MATCH($G$4,$AD$2:$AD$21,0))=0,"",INDEX(AM$2:AM$21,MATCH($G$4,$AD$2:$AD$21,0)))</f>
        <v/>
      </c>
      <c r="H13" s="777" t="str">
        <f>IF(INDEX(AM$2:AM$21,MATCH($H$4,$AD$2:$AD$21,0))=0,"",INDEX(AM$2:AM$21,MATCH($H$4,$AD$2:$AD$21,0)))</f>
        <v>§</v>
      </c>
      <c r="I13" s="780" t="str">
        <f>IF(INDEX(AM$2:AM$21,MATCH($I$4,$AD$2:$AD$21,0))=0,"",INDEX(AM$2:AM$21,MATCH($I$4,$AD$2:$AD$21,0)))</f>
        <v>§</v>
      </c>
      <c r="J13" s="744"/>
      <c r="K13" s="1061"/>
      <c r="L13" s="749" t="s">
        <v>983</v>
      </c>
      <c r="M13" s="750"/>
      <c r="N13" s="750"/>
      <c r="O13" s="750"/>
      <c r="P13" s="777" t="str">
        <f>IF(INDEX(AM$24:AM$40,MATCH($P$4,$AD$24:$AD$40,0))=0,"",INDEX(AM$24:AM$40,MATCH($P$4,AD$24:AD$40,0)))</f>
        <v/>
      </c>
      <c r="Q13" s="786" t="str">
        <f>IF(INDEX(AM24:AM40,MATCH($Q$4,$AD$24:$AD$40,0))=0,"",INDEX(AM$24:AM$40,MATCH($Q$4,AD$24:AD$40,0)))</f>
        <v>§</v>
      </c>
      <c r="R13" s="800" t="str">
        <f>IF(INDEX($AM$24:$AM$40,MATCH($R$4,$AD$24:$AD$40,0))=0,"",INDEX($AM$24:$AM$40,MATCH($R$4,$AD$24:$AD$40,0)))</f>
        <v/>
      </c>
      <c r="S13" s="759"/>
      <c r="T13" s="755"/>
      <c r="AC13" s="186"/>
      <c r="AD13" s="815" t="s">
        <v>221</v>
      </c>
      <c r="AE13" s="816">
        <v>16</v>
      </c>
      <c r="AF13" s="816" t="s">
        <v>170</v>
      </c>
      <c r="AG13" s="816" t="s">
        <v>977</v>
      </c>
      <c r="AH13" s="816" t="s">
        <v>417</v>
      </c>
      <c r="AI13" s="817"/>
      <c r="AJ13" s="816" t="s">
        <v>968</v>
      </c>
      <c r="AK13" s="816"/>
      <c r="AL13" s="817"/>
      <c r="AM13" s="817"/>
      <c r="AN13" s="817"/>
      <c r="AO13" s="817"/>
      <c r="AP13" s="816" t="s">
        <v>417</v>
      </c>
      <c r="AQ13" s="817"/>
      <c r="AR13" s="816" t="s">
        <v>417</v>
      </c>
      <c r="AS13" s="817"/>
      <c r="AT13" s="816" t="s">
        <v>417</v>
      </c>
      <c r="AU13" s="817"/>
      <c r="AV13" s="816" t="s">
        <v>417</v>
      </c>
      <c r="AW13" s="817"/>
      <c r="AX13" s="482" t="s">
        <v>221</v>
      </c>
    </row>
    <row r="14" spans="1:50" ht="20.100000000000001" customHeight="1" x14ac:dyDescent="0.2">
      <c r="B14" s="1061"/>
      <c r="C14" s="1041" t="s">
        <v>940</v>
      </c>
      <c r="D14" s="1042"/>
      <c r="E14" s="1042"/>
      <c r="F14" s="1042"/>
      <c r="G14" s="773" t="str">
        <f>IF(INDEX(AN$2:AN$21,MATCH($G$4,$AD$2:$AD$21,0))=0,"",INDEX(AN$2:AN$21,MATCH($G$4,$AD$2:$AD$21,0)))</f>
        <v/>
      </c>
      <c r="H14" s="777" t="str">
        <f>IF(INDEX(AN$2:AN$21,MATCH($H$4,$AD$2:$AD$21,0))=0,"",INDEX(AN$2:AN$21,MATCH($H$4,$AD$2:$AD$21,0)))</f>
        <v/>
      </c>
      <c r="I14" s="780" t="str">
        <f>IF(INDEX(AN$2:AN$21,MATCH($I$4,$AD$2:$AD$21,0))=0,"",INDEX(AN$2:AN$21,MATCH($I$4,$AD$2:$AD$21,0)))</f>
        <v>§</v>
      </c>
      <c r="J14" s="744"/>
      <c r="K14" s="1061"/>
      <c r="L14" s="1041" t="s">
        <v>984</v>
      </c>
      <c r="M14" s="1042"/>
      <c r="N14" s="1042"/>
      <c r="O14" s="1042"/>
      <c r="P14" s="777" t="str">
        <f>IF(INDEX(AN$24:AN$40,MATCH($P$4,$AD$24:$AD$40,0))=0,"",INDEX(AN$24:AN$40,MATCH($P$4,AD$24:AD$40,0)))</f>
        <v/>
      </c>
      <c r="Q14" s="786" t="str">
        <f>IF(INDEX(AN24:AN40,MATCH($Q$4,$AD$24:$AD$40,0))=0,"",INDEX(AN$24:AN$40,MATCH($Q$4,AD$24:AD$40,0)))</f>
        <v/>
      </c>
      <c r="R14" s="800" t="str">
        <f>IF(INDEX($AN$24:$AN$40,MATCH($R$4,$AD$24:$AD$40,0))=0,"",INDEX($AN$24:$AN$40,MATCH($R$4,$AD$24:$AD$40,0)))</f>
        <v/>
      </c>
      <c r="S14" s="759"/>
      <c r="T14" s="755"/>
      <c r="AC14" s="479"/>
      <c r="AD14" s="815" t="s">
        <v>236</v>
      </c>
      <c r="AE14" s="816">
        <v>15</v>
      </c>
      <c r="AF14" s="816" t="s">
        <v>170</v>
      </c>
      <c r="AG14" s="816" t="s">
        <v>506</v>
      </c>
      <c r="AH14" s="817"/>
      <c r="AI14" s="817"/>
      <c r="AJ14" s="816" t="s">
        <v>968</v>
      </c>
      <c r="AK14" s="816" t="s">
        <v>417</v>
      </c>
      <c r="AL14" s="817"/>
      <c r="AM14" s="817"/>
      <c r="AN14" s="817"/>
      <c r="AO14" s="816"/>
      <c r="AP14" s="817"/>
      <c r="AQ14" s="817"/>
      <c r="AR14" s="816" t="s">
        <v>417</v>
      </c>
      <c r="AS14" s="817"/>
      <c r="AT14" s="817"/>
      <c r="AU14" s="817"/>
      <c r="AV14" s="816" t="s">
        <v>417</v>
      </c>
      <c r="AW14" s="816" t="s">
        <v>417</v>
      </c>
      <c r="AX14" s="482" t="s">
        <v>236</v>
      </c>
    </row>
    <row r="15" spans="1:50" ht="20.100000000000001" customHeight="1" x14ac:dyDescent="0.2">
      <c r="B15" s="1061"/>
      <c r="C15" s="1041" t="s">
        <v>941</v>
      </c>
      <c r="D15" s="1042"/>
      <c r="E15" s="1042"/>
      <c r="F15" s="1042"/>
      <c r="G15" s="773" t="str">
        <f>IF(INDEX(AO$2:AO$21,MATCH($G$4,$AD$2:$AD$21,0))=0,"",INDEX(AO$2:AO$21,MATCH($G$4,$AD$2:$AD$21,0)))</f>
        <v/>
      </c>
      <c r="H15" s="777" t="str">
        <f>IF(INDEX(AO$2:AO$21,MATCH($H$4,$AD$2:$AD$21,0))=0,"",INDEX(AO$2:AO$21,MATCH($H$4,$AD$2:$AD$21,0)))</f>
        <v>§</v>
      </c>
      <c r="I15" s="780" t="str">
        <f>IF(INDEX(AO$2:AO$21,MATCH($I$4,$AD$2:$AD$21,0))=0,"",INDEX(AO$2:AO$21,MATCH($I$4,$AD$2:$AD$21,0)))</f>
        <v>§</v>
      </c>
      <c r="J15" s="744"/>
      <c r="K15" s="1061"/>
      <c r="L15" s="1041" t="s">
        <v>985</v>
      </c>
      <c r="M15" s="1042"/>
      <c r="N15" s="1042"/>
      <c r="O15" s="1042"/>
      <c r="P15" s="777" t="str">
        <f>IF(INDEX(AO$24:AO$40,MATCH($P$4,$AD$24:$AD$40,0))=0,"",INDEX(AO$24:AO$40,MATCH($P$4,AD$24:AD$40,0)))</f>
        <v>§</v>
      </c>
      <c r="Q15" s="786" t="str">
        <f>IF(INDEX(AO24:AO40,MATCH($Q$4,$AD$24:$AD$40,0))=0,"",INDEX(AO$24:AO$40,MATCH($Q$4,AD$24:AD$40,0)))</f>
        <v>§</v>
      </c>
      <c r="R15" s="800" t="str">
        <f>IF(INDEX($AO$24:$AO$40,MATCH($R$4,$AD$24:$AD$40,0))=0,"",INDEX($AO$24:$AO$40,MATCH($R$4,$AD$24:$AD$40,0)))</f>
        <v>§</v>
      </c>
      <c r="S15" s="759"/>
      <c r="T15" s="755"/>
      <c r="AC15" s="479"/>
      <c r="AD15" s="818">
        <v>1116</v>
      </c>
      <c r="AE15" s="816">
        <v>18</v>
      </c>
      <c r="AF15" s="816" t="s">
        <v>166</v>
      </c>
      <c r="AG15" s="816" t="s">
        <v>975</v>
      </c>
      <c r="AH15" s="817"/>
      <c r="AI15" s="817"/>
      <c r="AJ15" s="816" t="s">
        <v>473</v>
      </c>
      <c r="AK15" s="816" t="s">
        <v>417</v>
      </c>
      <c r="AL15" s="817"/>
      <c r="AM15" s="817"/>
      <c r="AN15" s="817"/>
      <c r="AO15" s="816" t="s">
        <v>417</v>
      </c>
      <c r="AP15" s="817"/>
      <c r="AQ15" s="817"/>
      <c r="AR15" s="817"/>
      <c r="AS15" s="816" t="s">
        <v>417</v>
      </c>
      <c r="AT15" s="817"/>
      <c r="AU15" s="817"/>
      <c r="AV15" s="817"/>
      <c r="AW15" s="817"/>
      <c r="AX15" s="737">
        <v>1116</v>
      </c>
    </row>
    <row r="16" spans="1:50" ht="20.100000000000001" customHeight="1" x14ac:dyDescent="0.2">
      <c r="B16" s="1061"/>
      <c r="C16" s="1041" t="s">
        <v>942</v>
      </c>
      <c r="D16" s="1042"/>
      <c r="E16" s="1042"/>
      <c r="F16" s="1042"/>
      <c r="G16" s="773" t="str">
        <f>IF(INDEX(AP$2:AP$21,MATCH($G$4,$AD$2:$AD$21,0))=0,"",INDEX(AP$2:AP$21,MATCH($G$4,$AD$2:$AD$21,0)))</f>
        <v/>
      </c>
      <c r="H16" s="777" t="str">
        <f>IF(INDEX(AP$2:AP$21,MATCH($H$4,$AD$2:$AD$21,0))=0,"",INDEX(AP$2:AP$21,MATCH($H$4,$AD$2:$AD$21,0)))</f>
        <v/>
      </c>
      <c r="I16" s="779" t="str">
        <f>IF(INDEX(AP$2:AP$21,MATCH($I$4,$AD$2:$AD$21,0))=0,"",INDEX(AP$2:AP$21,MATCH($I$4,$AD$2:$AD$21,0)))</f>
        <v/>
      </c>
      <c r="J16" s="744"/>
      <c r="K16" s="1061"/>
      <c r="L16" s="1041" t="s">
        <v>986</v>
      </c>
      <c r="M16" s="1042"/>
      <c r="N16" s="1042"/>
      <c r="O16" s="1042"/>
      <c r="P16" s="777" t="str">
        <f>IF(INDEX(AP$24:AP$40,MATCH($P$4,$AD$24:$AD$40,0))=0,"",INDEX(AP$24:AP$40,MATCH($P$4,AD$24:AD$40,0)))</f>
        <v/>
      </c>
      <c r="Q16" s="786" t="str">
        <f>IF(INDEX(AP24:AP40,MATCH($Q$4,$AD$24:$AD$40,0))=0,"",INDEX(AP$24:AP$40,MATCH($Q$4,$AD$24:$AD$40,0)))</f>
        <v>§</v>
      </c>
      <c r="R16" s="800" t="str">
        <f>IF(INDEX($AP$24:$AP$40,MATCH($R$4,$AD$24:$AD$40,0))=0,"",INDEX($AP$24:$AP$40,MATCH($R$4,$AD$24:$AD$40,0)))</f>
        <v/>
      </c>
      <c r="S16" s="759"/>
      <c r="T16" s="755"/>
      <c r="AC16" s="479"/>
      <c r="AD16" s="818" t="s">
        <v>248</v>
      </c>
      <c r="AE16" s="816">
        <v>16</v>
      </c>
      <c r="AF16" s="816" t="s">
        <v>166</v>
      </c>
      <c r="AG16" s="816" t="s">
        <v>509</v>
      </c>
      <c r="AH16" s="817"/>
      <c r="AI16" s="817"/>
      <c r="AJ16" s="816" t="s">
        <v>968</v>
      </c>
      <c r="AK16" s="816" t="s">
        <v>417</v>
      </c>
      <c r="AL16" s="817"/>
      <c r="AM16" s="816" t="s">
        <v>417</v>
      </c>
      <c r="AN16" s="816" t="s">
        <v>417</v>
      </c>
      <c r="AO16" s="816" t="s">
        <v>417</v>
      </c>
      <c r="AP16" s="817"/>
      <c r="AQ16" s="816" t="s">
        <v>417</v>
      </c>
      <c r="AR16" s="817"/>
      <c r="AS16" s="816" t="s">
        <v>417</v>
      </c>
      <c r="AT16" s="816" t="s">
        <v>417</v>
      </c>
      <c r="AU16" s="816" t="s">
        <v>417</v>
      </c>
      <c r="AV16" s="817"/>
      <c r="AW16" s="817"/>
      <c r="AX16" s="737" t="s">
        <v>248</v>
      </c>
    </row>
    <row r="17" spans="2:54" ht="20.100000000000001" customHeight="1" x14ac:dyDescent="0.2">
      <c r="B17" s="1061"/>
      <c r="C17" s="1041" t="s">
        <v>943</v>
      </c>
      <c r="D17" s="1042"/>
      <c r="E17" s="1042"/>
      <c r="F17" s="1042"/>
      <c r="G17" s="773" t="str">
        <f>IF(INDEX(AQ$2:AQ$21,MATCH($G$4,$AD$2:$AD$21,0))=0,"",INDEX(AQ$2:AQ$21,MATCH($G$4,$AD$2:$AD$21,0)))</f>
        <v/>
      </c>
      <c r="H17" s="777" t="str">
        <f>IF(INDEX(AQ$2:AQ$21,MATCH($H$4,$AD$2:$AD$21,0))=0,"",INDEX(AQ$2:AQ$21,MATCH($H$4,$AD$2:$AD$21,0)))</f>
        <v>§</v>
      </c>
      <c r="I17" s="780" t="str">
        <f>IF(INDEX(AQ$2:AQ$21,MATCH($I$4,$AD$2:$AD$21,0))=0,"",INDEX(AQ$2:AQ$21,MATCH($I$4,$AD$2:$AD$21,0)))</f>
        <v>§</v>
      </c>
      <c r="J17" s="744"/>
      <c r="K17" s="1061"/>
      <c r="L17" s="1064" t="s">
        <v>987</v>
      </c>
      <c r="M17" s="1065"/>
      <c r="N17" s="1065"/>
      <c r="O17" s="1065"/>
      <c r="P17" s="831" t="str">
        <f>IF(INDEX(AQ$24:AQ$40,MATCH($P$4,$AD$24:$AD$40,0))=0,"",INDEX(AQ$24:AQ$40,MATCH($P$4,AD$24:AD$40,0)))</f>
        <v/>
      </c>
      <c r="Q17" s="786" t="str">
        <f>IF(INDEX(AQ24:AQ40,MATCH($Q$4,$AD$24:$AD$40,0))=0,"",INDEX(AQ$24:$AQ$40,MATCH($Q$4,$AD$24:$AD$40,0)))</f>
        <v/>
      </c>
      <c r="R17" s="800" t="str">
        <f>IF(INDEX($AQ$24:$AQ$40,MATCH($R$4,$AD$24:$AD$40,0))=0,"",INDEX($AQ$24:$AQ$40,MATCH($R$4,$AD$24:$AD$40,0)))</f>
        <v>§</v>
      </c>
      <c r="S17" s="759"/>
      <c r="T17" s="755"/>
      <c r="AC17" s="479"/>
      <c r="AD17" s="815" t="s">
        <v>255</v>
      </c>
      <c r="AE17" s="816">
        <v>16</v>
      </c>
      <c r="AF17" s="816" t="s">
        <v>170</v>
      </c>
      <c r="AG17" s="816" t="s">
        <v>976</v>
      </c>
      <c r="AH17" s="817"/>
      <c r="AI17" s="817"/>
      <c r="AJ17" s="816" t="s">
        <v>422</v>
      </c>
      <c r="AK17" s="816" t="s">
        <v>417</v>
      </c>
      <c r="AL17" s="817"/>
      <c r="AM17" s="816"/>
      <c r="AN17" s="817"/>
      <c r="AO17" s="816" t="s">
        <v>417</v>
      </c>
      <c r="AP17" s="817"/>
      <c r="AQ17" s="817"/>
      <c r="AR17" s="817"/>
      <c r="AS17" s="816" t="s">
        <v>417</v>
      </c>
      <c r="AT17" s="817"/>
      <c r="AU17" s="816" t="s">
        <v>417</v>
      </c>
      <c r="AV17" s="817"/>
      <c r="AW17" s="817"/>
      <c r="AX17" s="482" t="s">
        <v>255</v>
      </c>
    </row>
    <row r="18" spans="2:54" ht="20.100000000000001" customHeight="1" thickBot="1" x14ac:dyDescent="0.25">
      <c r="B18" s="1061"/>
      <c r="C18" s="1064" t="s">
        <v>500</v>
      </c>
      <c r="D18" s="1065"/>
      <c r="E18" s="1065"/>
      <c r="F18" s="1065"/>
      <c r="G18" s="832" t="str">
        <f>IF(INDEX(AR$2:AR$21,MATCH($G$4,$AD$2:$AD$21,0))=0,"",INDEX(AR$2:AR$21,MATCH($G$4,$AD$2:$AD$21,0)))</f>
        <v>§</v>
      </c>
      <c r="H18" s="832" t="str">
        <f>IF(INDEX(AR$2:AR$21,MATCH($H$4,$AD$2:$AD$21,0))=0,"",INDEX(AR$2:AR$21,MATCH($H$4,$AD$2:$AD$21,0)))</f>
        <v>§</v>
      </c>
      <c r="I18" s="781" t="str">
        <f>IF(INDEX(AR$2:AR$21,MATCH($I$4,$AD$2:$AD$21,0))=0,"",INDEX(AR$2:AR$21,MATCH($I$4,$AD$2:$AD$21,0)))</f>
        <v/>
      </c>
      <c r="J18" s="744"/>
      <c r="K18" s="1061"/>
      <c r="L18" s="1079" t="s">
        <v>943</v>
      </c>
      <c r="M18" s="1079"/>
      <c r="N18" s="1079"/>
      <c r="O18" s="1079"/>
      <c r="P18" s="774" t="str">
        <f>IF(INDEX(AR$24:AR$40,MATCH($P$4,$AD$24:$AD$40,0))=0,"",INDEX(AR$24:AR$40,MATCH($P$4,AD$24:AD$40,0)))</f>
        <v/>
      </c>
      <c r="Q18" s="786" t="str">
        <f>IF(INDEX(AR24:AR40,MATCH($Q$4,$AD$24:$AD$40,0))=0,"",INDEX(AR$24:$AR$40,MATCH($Q$4,$AD$24:$AD$40,0)))</f>
        <v/>
      </c>
      <c r="R18" s="771" t="str">
        <f>IF(INDEX(AR$24:AR$40,MATCH($P$4,$AD$24:$AD$40,0))=0,"",INDEX(AR$24:AR$40,MATCH($P$4,AD$24:AD$40,0)))</f>
        <v/>
      </c>
      <c r="S18" s="759"/>
      <c r="T18" s="755"/>
      <c r="AC18" s="479"/>
      <c r="AD18" s="818">
        <v>4600</v>
      </c>
      <c r="AE18" s="816">
        <v>15</v>
      </c>
      <c r="AF18" s="816" t="s">
        <v>166</v>
      </c>
      <c r="AG18" s="816" t="s">
        <v>978</v>
      </c>
      <c r="AH18" s="817"/>
      <c r="AI18" s="817"/>
      <c r="AJ18" s="816" t="s">
        <v>968</v>
      </c>
      <c r="AK18" s="816" t="s">
        <v>417</v>
      </c>
      <c r="AL18" s="817"/>
      <c r="AM18" s="816" t="s">
        <v>417</v>
      </c>
      <c r="AN18" s="817"/>
      <c r="AO18" s="816"/>
      <c r="AP18" s="817"/>
      <c r="AQ18" s="817"/>
      <c r="AR18" s="817"/>
      <c r="AS18" s="816" t="s">
        <v>417</v>
      </c>
      <c r="AT18" s="817"/>
      <c r="AU18" s="817"/>
      <c r="AV18" s="816" t="s">
        <v>417</v>
      </c>
      <c r="AW18" s="816" t="s">
        <v>417</v>
      </c>
      <c r="AX18" s="737">
        <v>4600</v>
      </c>
    </row>
    <row r="19" spans="2:54" ht="20.100000000000001" customHeight="1" thickTop="1" x14ac:dyDescent="0.2">
      <c r="B19" s="1062" t="s">
        <v>950</v>
      </c>
      <c r="C19" s="1069" t="s">
        <v>944</v>
      </c>
      <c r="D19" s="1070"/>
      <c r="E19" s="1070"/>
      <c r="F19" s="1070"/>
      <c r="G19" s="772" t="str">
        <f>IF(INDEX(AS$2:AS$21,MATCH($G$4,$AD$2:$AD$21,0))=0,"",INDEX(AS$2:AS$21,MATCH($G$4,$AD$2:$AD$21,0)))</f>
        <v>§</v>
      </c>
      <c r="H19" s="776" t="str">
        <f>IF(INDEX(AS$2:AS$21,MATCH($H$4,$AD$2:$AD$21,0))=0,"",INDEX(AS$2:AS$21,MATCH($H$4,$AD$2:$AD$21,0)))</f>
        <v>§</v>
      </c>
      <c r="I19" s="779" t="str">
        <f>IF(INDEX(AS$2:AS$21,MATCH($I$4,$AD$2:$AD$21,0))=0,"",INDEX(AS$2:AS$21,MATCH($I$4,$AD$2:$AD$21,0)))</f>
        <v>§</v>
      </c>
      <c r="J19" s="744"/>
      <c r="K19" s="764"/>
      <c r="L19" s="1071" t="s">
        <v>988</v>
      </c>
      <c r="M19" s="1071"/>
      <c r="N19" s="1071"/>
      <c r="O19" s="1071"/>
      <c r="P19" s="774" t="str">
        <f>IF(INDEX(AS$24:AS$40,MATCH($P$4,$AD$24:$AD$40,0))=0,"",INDEX(AS$24:AS$40,MATCH($P$4,AD$24:AD$40,0)))</f>
        <v>§</v>
      </c>
      <c r="Q19" s="786" t="str">
        <f>IF(INDEX($AS$24:$AS$40,MATCH($Q$4,$AD$24:$AD$40,0))=0,"",INDEX(AS$24:$AS$40,MATCH($Q$4,$AD$24:$AD$40,0)))</f>
        <v/>
      </c>
      <c r="R19" s="800" t="str">
        <f>IF(INDEX($AS$24:$AS$40,MATCH($R$4,$AD$24:$AD$40,0))=0,"",INDEX($AS$24:$AS$40,MATCH($R$4,$AD$24:$AD$40,0)))</f>
        <v/>
      </c>
      <c r="S19" s="759"/>
      <c r="T19" s="755"/>
      <c r="AC19" s="479"/>
      <c r="AD19" s="818" t="s">
        <v>271</v>
      </c>
      <c r="AE19" s="816">
        <v>15</v>
      </c>
      <c r="AF19" s="816" t="s">
        <v>170</v>
      </c>
      <c r="AG19" s="816" t="s">
        <v>976</v>
      </c>
      <c r="AH19" s="817"/>
      <c r="AI19" s="817"/>
      <c r="AJ19" s="816" t="s">
        <v>422</v>
      </c>
      <c r="AK19" s="817"/>
      <c r="AL19" s="817"/>
      <c r="AM19" s="816"/>
      <c r="AN19" s="816" t="s">
        <v>417</v>
      </c>
      <c r="AO19" s="816" t="s">
        <v>417</v>
      </c>
      <c r="AP19" s="817"/>
      <c r="AQ19" s="817"/>
      <c r="AR19" s="816" t="s">
        <v>417</v>
      </c>
      <c r="AS19" s="816" t="s">
        <v>417</v>
      </c>
      <c r="AT19" s="817"/>
      <c r="AU19" s="816" t="s">
        <v>417</v>
      </c>
      <c r="AV19" s="816" t="s">
        <v>417</v>
      </c>
      <c r="AW19" s="817"/>
      <c r="AX19" s="737" t="s">
        <v>271</v>
      </c>
    </row>
    <row r="20" spans="2:54" ht="20.100000000000001" customHeight="1" thickBot="1" x14ac:dyDescent="0.25">
      <c r="B20" s="1060"/>
      <c r="C20" s="1042" t="s">
        <v>603</v>
      </c>
      <c r="D20" s="1042"/>
      <c r="E20" s="1042"/>
      <c r="F20" s="1042"/>
      <c r="G20" s="773" t="str">
        <f>IF(INDEX(AT$2:AT$21,MATCH($G$4,$AD$2:$AD$21,0))=0,"",INDEX(AT$2:AT$21,MATCH($G$4,$AD$2:$AD$21,0)))</f>
        <v/>
      </c>
      <c r="H20" s="777" t="str">
        <f>IF(INDEX(AT$2:AT$21,MATCH($H$4,$AD$2:$AD$21,0))=0,"",INDEX(AT$2:AT$21,MATCH($H$4,$AD$2:$AD$21,0)))</f>
        <v/>
      </c>
      <c r="I20" s="780" t="str">
        <f>IF(INDEX(AT$2:AT$21,MATCH($I$4,$AD$2:$AD$21,0))=0,"",INDEX(AT$2:AT$21,MATCH($I$4,$AD$2:$AD$21,0)))</f>
        <v>§</v>
      </c>
      <c r="J20" s="744"/>
      <c r="K20" s="764"/>
      <c r="L20" s="1072" t="s">
        <v>989</v>
      </c>
      <c r="M20" s="1072"/>
      <c r="N20" s="1072"/>
      <c r="O20" s="1072"/>
      <c r="P20" s="775" t="str">
        <f>IF(INDEX(AT$24:AT$40,MATCH($P$4,$AD$24:$AD$40,0))=0,"",INDEX(AT$24:AT$40,MATCH($P$4,AD$24:AD$40,0)))</f>
        <v/>
      </c>
      <c r="Q20" s="787" t="str">
        <f>IF(INDEX($AT$24:$AT$40,MATCH($Q$4,$AD$24:$AD$40,0))=0,"",INDEX(AT$24:$AT$40,MATCH($Q$4,$AD$24:$AD$40,0)))</f>
        <v/>
      </c>
      <c r="R20" s="803" t="str">
        <f>IF(INDEX($AT$24:$AT$40,MATCH($R$4,$AD$24:$AD$40,0))=0,"",INDEX($AT$24:$AT$40,MATCH($R$4,$AD$24:$AD$40,0)))</f>
        <v/>
      </c>
      <c r="S20" s="759"/>
      <c r="T20" s="755"/>
      <c r="AC20" s="479"/>
      <c r="AD20" s="815" t="s">
        <v>971</v>
      </c>
      <c r="AE20" s="816">
        <v>17</v>
      </c>
      <c r="AF20" s="816" t="s">
        <v>166</v>
      </c>
      <c r="AG20" s="816" t="s">
        <v>979</v>
      </c>
      <c r="AH20" s="817"/>
      <c r="AI20" s="817"/>
      <c r="AJ20" s="816" t="s">
        <v>422</v>
      </c>
      <c r="AK20" s="816" t="s">
        <v>417</v>
      </c>
      <c r="AL20" s="817"/>
      <c r="AM20" s="816" t="s">
        <v>417</v>
      </c>
      <c r="AN20" s="816" t="s">
        <v>417</v>
      </c>
      <c r="AO20" s="816" t="s">
        <v>417</v>
      </c>
      <c r="AP20" s="817"/>
      <c r="AQ20" s="817"/>
      <c r="AR20" s="817"/>
      <c r="AS20" s="816" t="s">
        <v>417</v>
      </c>
      <c r="AT20" s="817"/>
      <c r="AU20" s="816" t="s">
        <v>417</v>
      </c>
      <c r="AV20" s="817"/>
      <c r="AW20" s="816" t="s">
        <v>417</v>
      </c>
      <c r="AX20" s="482" t="s">
        <v>971</v>
      </c>
    </row>
    <row r="21" spans="2:54" ht="20.100000000000001" customHeight="1" thickTop="1" x14ac:dyDescent="0.2">
      <c r="B21" s="1060"/>
      <c r="C21" s="1042" t="s">
        <v>945</v>
      </c>
      <c r="D21" s="1042"/>
      <c r="E21" s="1042"/>
      <c r="F21" s="1042"/>
      <c r="G21" s="773" t="str">
        <f>IF(INDEX(AU$2:AU$21,MATCH($G$4,$AD$2:$AD$21,0))=0,"",INDEX(AU$2:AU$21,MATCH($G$4,$AD$2:$AD$21,0)))</f>
        <v/>
      </c>
      <c r="H21" s="777" t="str">
        <f>IF(INDEX(AU$2:AU$21,MATCH($H$4,$AD$2:$AD$21,0))=0,"",INDEX(AU$2:AU$21,MATCH($H$4,$AD$2:$AD$21,0)))</f>
        <v/>
      </c>
      <c r="I21" s="780" t="str">
        <f>IF(INDEX(AU$2:AU$21,MATCH($I$4,$AD$2:$AD$21,0))=0,"",INDEX(AU$2:AU$21,MATCH($I$4,$AD$2:$AD$21,0)))</f>
        <v>§</v>
      </c>
      <c r="J21" s="744"/>
      <c r="K21" s="1073" t="s">
        <v>994</v>
      </c>
      <c r="L21" s="1082" t="s">
        <v>990</v>
      </c>
      <c r="M21" s="1083"/>
      <c r="N21" s="1083"/>
      <c r="O21" s="1083"/>
      <c r="P21" s="774" t="str">
        <f>IF(INDEX(AU$24:AU$40,MATCH($P$4,$AD$24:$AD$40,0))=0,"",INDEX(AU$24:AU$40,MATCH($P$4,AD$24:AD$40,0)))</f>
        <v/>
      </c>
      <c r="Q21" s="797" t="str">
        <f>IF(INDEX($AU$24:$AU$40,MATCH($Q$4,$AD$24:$AD$40,0))=0,"",INDEX(AU$24:$AU$40,MATCH($Q$4,$AD$24:$AD$40,0)))</f>
        <v>§</v>
      </c>
      <c r="R21" s="801" t="str">
        <f>IF(INDEX($AU$24:$AU$40,MATCH($R$4,$AD$24:$AD$40,0))=0,"",INDEX($AU$24:$AU$40,MATCH($R$4,$AD$24:$AD$40,0)))</f>
        <v/>
      </c>
      <c r="S21" s="759"/>
      <c r="T21" s="755"/>
      <c r="AC21" s="479"/>
      <c r="AD21" s="815" t="s">
        <v>301</v>
      </c>
      <c r="AE21" s="816">
        <v>16</v>
      </c>
      <c r="AF21" s="816" t="s">
        <v>171</v>
      </c>
      <c r="AG21" s="816" t="s">
        <v>980</v>
      </c>
      <c r="AH21" s="817"/>
      <c r="AI21" s="817"/>
      <c r="AJ21" s="816" t="s">
        <v>968</v>
      </c>
      <c r="AK21" s="816" t="s">
        <v>417</v>
      </c>
      <c r="AL21" s="817"/>
      <c r="AM21" s="817"/>
      <c r="AN21" s="817"/>
      <c r="AO21" s="816"/>
      <c r="AP21" s="817"/>
      <c r="AQ21" s="817"/>
      <c r="AR21" s="816" t="s">
        <v>417</v>
      </c>
      <c r="AS21" s="816" t="s">
        <v>417</v>
      </c>
      <c r="AT21" s="817"/>
      <c r="AU21" s="817"/>
      <c r="AV21" s="816" t="s">
        <v>417</v>
      </c>
      <c r="AW21" s="816" t="s">
        <v>417</v>
      </c>
      <c r="AX21" s="482" t="s">
        <v>301</v>
      </c>
    </row>
    <row r="22" spans="2:54" ht="20.100000000000001" customHeight="1" x14ac:dyDescent="0.2">
      <c r="B22" s="1060"/>
      <c r="C22" s="1042" t="s">
        <v>946</v>
      </c>
      <c r="D22" s="1042"/>
      <c r="E22" s="1042"/>
      <c r="F22" s="1042"/>
      <c r="G22" s="773" t="str">
        <f>IF(INDEX(AV$2:AV$21,MATCH($G$4,$AD$2:$AD$21,0))=0,"",INDEX(AV$2:AV$21,MATCH($G$4,$AD$2:$AD$21,0)))</f>
        <v>§</v>
      </c>
      <c r="H22" s="777" t="str">
        <f>IF(INDEX(AV$2:AV$21,MATCH($H$4,$AD$2:$AD$21,0))=0,"",INDEX(AV$2:AV$21,MATCH($H$4,$AD$2:$AD$21,0)))</f>
        <v>§</v>
      </c>
      <c r="I22" s="780" t="str">
        <f>IF(INDEX(AV$2:AV$21,MATCH($I$4,$AD$2:$AD$21,0))=0,"",INDEX(AV$2:AV$21,MATCH($I$4,$AD$2:$AD$21,0)))</f>
        <v/>
      </c>
      <c r="J22" s="744"/>
      <c r="K22" s="1073"/>
      <c r="L22" s="1075" t="s">
        <v>338</v>
      </c>
      <c r="M22" s="1076"/>
      <c r="N22" s="1076"/>
      <c r="O22" s="1076"/>
      <c r="P22" s="774" t="str">
        <f>IF(INDEX(AV$24:AV$40,MATCH($P$4,$AD$24:$AD$40,0))=0,"",INDEX(AV$24:AV$40,MATCH($P$4,AD$24:AD$40,0)))</f>
        <v/>
      </c>
      <c r="Q22" s="786" t="str">
        <f>IF(INDEX($AV$24:$AV$40,MATCH($Q$4,$AD$24:$AD$40,0))=0,"",INDEX(AV$24:$AV$40,MATCH($Q$4,$AD$24:$AD$40,0)))</f>
        <v>§</v>
      </c>
      <c r="R22" s="800" t="str">
        <f>IF(INDEX($AV$24:$AV$40,MATCH($R$4,$AD$24:$AD$40,0))=0,"",INDEX($AV$24:$AV$40,MATCH($R$4,$AD$24:$AD$40,0)))</f>
        <v>§</v>
      </c>
      <c r="S22" s="759"/>
      <c r="T22" s="755"/>
      <c r="AC22" s="479"/>
    </row>
    <row r="23" spans="2:54" ht="20.100000000000001" customHeight="1" x14ac:dyDescent="0.2">
      <c r="B23" s="1060"/>
      <c r="C23" s="1088" t="s">
        <v>947</v>
      </c>
      <c r="D23" s="1089"/>
      <c r="E23" s="1089"/>
      <c r="F23" s="1089"/>
      <c r="G23" s="777" t="str">
        <f>IF(INDEX(AW$2:AW$21,MATCH($G$4,$AD$2:$AD$21,0))=0,"",INDEX(AW$2:AW$21,MATCH($G$4,$AD$2:$AD$21,0)))</f>
        <v>§</v>
      </c>
      <c r="H23" s="777" t="str">
        <f>IF(INDEX(AW$2:AW$21,MATCH($H$4,$AD$2:$AD$21,0))=0,"",INDEX(AW$2:AW$21,MATCH($H$4,$AD$2:$AD$21,0)))</f>
        <v/>
      </c>
      <c r="I23" s="780" t="str">
        <f>IF(INDEX(AW$2:AW$21,MATCH($I$4,$AD$2:$AD$21,0))=0,"",INDEX(AW$2:AW$21,MATCH($I$4,$AD$2:$AD$21,0)))</f>
        <v/>
      </c>
      <c r="J23" s="744"/>
      <c r="K23" s="1073"/>
      <c r="L23" s="1057" t="s">
        <v>1021</v>
      </c>
      <c r="M23" s="1058"/>
      <c r="N23" s="1058"/>
      <c r="O23" s="1059"/>
      <c r="P23" s="774" t="str">
        <f>IF(INDEX(AW$24:AW$40,MATCH($P$4,$AD$24:$AD$40,0))=0,"",INDEX(AW$24:AW$40,MATCH($P$4,AD$24:AD$40,0)))</f>
        <v/>
      </c>
      <c r="Q23" s="786" t="str">
        <f>IF(INDEX($AW$24:$AW$40,MATCH($Q$4,$AD$24:$AD$40,0))=0,"",INDEX(AW$24:$AW$40,MATCH($Q$4,$AD$24:$AD$40,0)))</f>
        <v/>
      </c>
      <c r="R23" s="800" t="str">
        <f>IF(INDEX($AW$24:$AW$40,MATCH($R$4,$AD$24:$AD$40,0))=0,"",INDEX($AW$24:$AW$40,MATCH($R$4,$AD$24:$AD$40,0)))</f>
        <v/>
      </c>
      <c r="S23" s="759"/>
      <c r="T23" s="755"/>
      <c r="AC23" s="479"/>
      <c r="AD23" s="814" t="s">
        <v>997</v>
      </c>
      <c r="AE23" s="242" t="s">
        <v>998</v>
      </c>
      <c r="AF23" s="794" t="s">
        <v>363</v>
      </c>
      <c r="AG23" s="794" t="s">
        <v>999</v>
      </c>
      <c r="AH23" s="812" t="s">
        <v>1006</v>
      </c>
      <c r="AI23" s="812" t="s">
        <v>970</v>
      </c>
      <c r="AJ23" s="794" t="s">
        <v>1000</v>
      </c>
      <c r="AK23" s="812" t="s">
        <v>1007</v>
      </c>
      <c r="AL23" s="242" t="s">
        <v>941</v>
      </c>
      <c r="AM23" s="242" t="s">
        <v>983</v>
      </c>
      <c r="AN23" s="812" t="s">
        <v>1009</v>
      </c>
      <c r="AO23" s="812" t="s">
        <v>1010</v>
      </c>
      <c r="AP23" s="812" t="s">
        <v>1008</v>
      </c>
      <c r="AQ23" s="794" t="s">
        <v>987</v>
      </c>
      <c r="AR23" s="794" t="s">
        <v>943</v>
      </c>
      <c r="AS23" s="794" t="s">
        <v>500</v>
      </c>
      <c r="AT23" s="794" t="s">
        <v>1001</v>
      </c>
      <c r="AU23" s="242" t="s">
        <v>1002</v>
      </c>
      <c r="AV23" s="794" t="s">
        <v>338</v>
      </c>
      <c r="AW23" s="794" t="s">
        <v>1021</v>
      </c>
      <c r="AX23" s="794" t="s">
        <v>340</v>
      </c>
      <c r="AY23" s="812" t="s">
        <v>1011</v>
      </c>
      <c r="AZ23" s="812" t="s">
        <v>1012</v>
      </c>
      <c r="BA23" s="812" t="s">
        <v>1013</v>
      </c>
    </row>
    <row r="24" spans="2:54" ht="20.100000000000001" customHeight="1" thickBot="1" x14ac:dyDescent="0.25">
      <c r="B24" s="770"/>
      <c r="C24" s="1090"/>
      <c r="D24" s="1090"/>
      <c r="E24" s="1090"/>
      <c r="F24" s="1090"/>
      <c r="G24" s="825"/>
      <c r="H24" s="825"/>
      <c r="I24" s="826"/>
      <c r="J24" s="744"/>
      <c r="K24" s="1073"/>
      <c r="L24" s="1075" t="s">
        <v>340</v>
      </c>
      <c r="M24" s="1076"/>
      <c r="N24" s="1076"/>
      <c r="O24" s="1076"/>
      <c r="P24" s="774" t="str">
        <f>IF(INDEX(AX$24:AX$40,MATCH($P$4,$AD$24:$AD$40,0))=0,"",INDEX(AX$24:AX$40,MATCH($P$4,AD$24:AD$40,0)))</f>
        <v>§</v>
      </c>
      <c r="Q24" s="786" t="str">
        <f>IF(INDEX($AX$24:$AX$40,MATCH($Q$4,$AD$24:$AD$40,0))=0,"",INDEX(AX$24:$AX$40,MATCH($Q$4,$AD$24:$AD$40,0)))</f>
        <v/>
      </c>
      <c r="R24" s="800" t="str">
        <f>IF(INDEX(AX$24:AX$40,MATCH($P$4,$AD$24:$AD$40,0))=0,"",INDEX(AX$24:AX$40,MATCH($P$4,AD$24:AD$40,0)))</f>
        <v>§</v>
      </c>
      <c r="S24" s="759"/>
      <c r="T24" s="755"/>
      <c r="AC24" s="479"/>
      <c r="AD24" s="818">
        <v>43</v>
      </c>
      <c r="AE24" s="816">
        <v>18</v>
      </c>
      <c r="AF24" s="820" t="s">
        <v>166</v>
      </c>
      <c r="AG24" s="816" t="s">
        <v>1003</v>
      </c>
      <c r="AH24" s="817"/>
      <c r="AI24" s="817"/>
      <c r="AJ24" s="816" t="s">
        <v>968</v>
      </c>
      <c r="AK24" s="817"/>
      <c r="AL24" s="817"/>
      <c r="AM24" s="817"/>
      <c r="AN24" s="817"/>
      <c r="AO24" s="816" t="s">
        <v>417</v>
      </c>
      <c r="AP24" s="817"/>
      <c r="AQ24" s="817"/>
      <c r="AR24" s="817"/>
      <c r="AS24" s="817"/>
      <c r="AT24" s="817"/>
      <c r="AU24" s="817"/>
      <c r="AV24" s="817"/>
      <c r="AW24" s="817"/>
      <c r="AX24" s="817"/>
      <c r="AY24" s="817"/>
      <c r="AZ24" s="816"/>
      <c r="BA24" s="816" t="s">
        <v>417</v>
      </c>
      <c r="BB24" s="633">
        <v>43</v>
      </c>
    </row>
    <row r="25" spans="2:54" ht="20.100000000000001" customHeight="1" x14ac:dyDescent="0.2">
      <c r="B25" s="827"/>
      <c r="C25" s="828"/>
      <c r="D25" s="828"/>
      <c r="E25" s="828"/>
      <c r="F25" s="828"/>
      <c r="G25" s="829"/>
      <c r="H25" s="829"/>
      <c r="I25" s="829"/>
      <c r="J25" s="744"/>
      <c r="K25" s="1073"/>
      <c r="L25" s="1075" t="s">
        <v>991</v>
      </c>
      <c r="M25" s="1076"/>
      <c r="N25" s="1076"/>
      <c r="O25" s="1076"/>
      <c r="P25" s="774" t="str">
        <f>IF(INDEX(AY$24:AY$40,MATCH($P$4,$AD$24:$AD$40,0))=0,"",INDEX(AY$24:AY$40,MATCH($P$4,AD$24:AD$40,0)))</f>
        <v>§</v>
      </c>
      <c r="Q25" s="786" t="str">
        <f>IF(INDEX($AY$24:$AY$40,MATCH($Q$4,$AD$24:$AD$40,0))=0,"",INDEX(AY$24:$AY$40,MATCH($Q$4,$AD$24:$AD$40,0)))</f>
        <v/>
      </c>
      <c r="R25" s="800" t="str">
        <f>IF(INDEX(AY$24:AY$40,MATCH($P$4,$AD$24:$AD$40,0))=0,"",INDEX(AY$24:AY$40,MATCH($P$4,AD$24:AD$40,0)))</f>
        <v>§</v>
      </c>
      <c r="S25" s="759"/>
      <c r="T25" s="755"/>
      <c r="AC25" s="479"/>
      <c r="AD25" s="815" t="s">
        <v>81</v>
      </c>
      <c r="AE25" s="816">
        <v>14</v>
      </c>
      <c r="AF25" s="816" t="s">
        <v>166</v>
      </c>
      <c r="AG25" s="816" t="s">
        <v>973</v>
      </c>
      <c r="AH25" s="817"/>
      <c r="AI25" s="817"/>
      <c r="AJ25" s="816" t="s">
        <v>968</v>
      </c>
      <c r="AK25" s="817"/>
      <c r="AL25" s="817"/>
      <c r="AM25" s="817"/>
      <c r="AN25" s="817"/>
      <c r="AO25" s="816" t="s">
        <v>417</v>
      </c>
      <c r="AP25" s="817"/>
      <c r="AQ25" s="817"/>
      <c r="AR25" s="817"/>
      <c r="AS25" s="817"/>
      <c r="AT25" s="817"/>
      <c r="AU25" s="817"/>
      <c r="AV25" s="817"/>
      <c r="AW25" s="817"/>
      <c r="AX25" s="816" t="s">
        <v>417</v>
      </c>
      <c r="AY25" s="816" t="s">
        <v>417</v>
      </c>
      <c r="AZ25" s="817"/>
      <c r="BA25" s="817"/>
      <c r="BB25" s="814" t="s">
        <v>81</v>
      </c>
    </row>
    <row r="26" spans="2:54" ht="20.100000000000001" customHeight="1" x14ac:dyDescent="0.2">
      <c r="C26" s="748"/>
      <c r="D26" s="748"/>
      <c r="E26" s="748"/>
      <c r="F26" s="748"/>
      <c r="G26" s="744"/>
      <c r="H26" s="744"/>
      <c r="I26" s="744"/>
      <c r="J26" s="744"/>
      <c r="K26" s="1073"/>
      <c r="L26" s="1075" t="s">
        <v>992</v>
      </c>
      <c r="M26" s="1076"/>
      <c r="N26" s="1076"/>
      <c r="O26" s="1076"/>
      <c r="P26" s="774" t="str">
        <f>IF(INDEX(AZ$24:AZ$40,MATCH($P$4,$AD$24:$AD$40,0))=0,"",INDEX(AZ$24:AZ$40,MATCH($P$4,AD$24:AD$40,0)))</f>
        <v/>
      </c>
      <c r="Q26" s="786" t="str">
        <f>IF(INDEX($AZ$24:$AZ$40,MATCH($Q$4,$AD$24:$AD$40,0))=0,"",INDEX(AZ$24:$AZ$40,MATCH($Q$4,$AD$24:$AD$40,0)))</f>
        <v>§</v>
      </c>
      <c r="R26" s="800" t="str">
        <f>IF(INDEX(AZ$24:AZ$40,MATCH($P$4,$AD$24:$AD$40,0))=0,"",INDEX(AZ$24:AZ$40,MATCH($P$4,AD$24:AD$40,0)))</f>
        <v/>
      </c>
      <c r="S26" s="759"/>
      <c r="T26" s="755"/>
      <c r="AC26" s="479"/>
      <c r="AD26" s="818">
        <v>3001</v>
      </c>
      <c r="AE26" s="816">
        <v>15</v>
      </c>
      <c r="AF26" s="816" t="s">
        <v>1004</v>
      </c>
      <c r="AG26" s="816" t="s">
        <v>1014</v>
      </c>
      <c r="AH26" s="817"/>
      <c r="AI26" s="817"/>
      <c r="AJ26" s="816" t="s">
        <v>968</v>
      </c>
      <c r="AK26" s="817"/>
      <c r="AL26" s="817"/>
      <c r="AM26" s="817"/>
      <c r="AN26" s="817"/>
      <c r="AO26" s="816" t="s">
        <v>417</v>
      </c>
      <c r="AP26" s="817"/>
      <c r="AQ26" s="816" t="s">
        <v>417</v>
      </c>
      <c r="AR26" s="817"/>
      <c r="AS26" s="816" t="s">
        <v>417</v>
      </c>
      <c r="AT26" s="816" t="s">
        <v>417</v>
      </c>
      <c r="AU26" s="817"/>
      <c r="AV26" s="817"/>
      <c r="AW26" s="816" t="s">
        <v>417</v>
      </c>
      <c r="AX26" s="816" t="s">
        <v>417</v>
      </c>
      <c r="AY26" s="816" t="s">
        <v>417</v>
      </c>
      <c r="AZ26" s="817"/>
      <c r="BA26" s="817"/>
      <c r="BB26" s="633">
        <v>3001</v>
      </c>
    </row>
    <row r="27" spans="2:54" ht="20.100000000000001" customHeight="1" x14ac:dyDescent="0.2">
      <c r="C27" s="748"/>
      <c r="D27" s="748"/>
      <c r="E27" s="748"/>
      <c r="F27" s="748"/>
      <c r="G27" s="744"/>
      <c r="H27" s="744"/>
      <c r="I27" s="744"/>
      <c r="J27" s="744"/>
      <c r="K27" s="1073"/>
      <c r="L27" s="1075" t="s">
        <v>993</v>
      </c>
      <c r="M27" s="1076"/>
      <c r="N27" s="1076"/>
      <c r="O27" s="1076"/>
      <c r="P27" s="774" t="str">
        <f>IF(INDEX(BA$24:BA$40,MATCH($P$4,$AD$24:$AD$40,0))=0,"",INDEX(BA$24:BA$40,MATCH($P$4,AD$24:AD$40,0)))</f>
        <v/>
      </c>
      <c r="Q27" s="786" t="str">
        <f>IF(INDEX($BA$24:$BA$40,MATCH($Q$4,$AD$24:$AD$40,0))=0,"",INDEX(BA$24:$BA$40,MATCH($Q$4,$AD$24:$AD$40,0)))</f>
        <v>§</v>
      </c>
      <c r="R27" s="800" t="str">
        <f>IF(INDEX(BA$24:BA$40,MATCH($P$4,$AD$24:$AD$40,0))=0,"",INDEX(BA$24:BA$40,MATCH($P$4,AD$24:AD$40,0)))</f>
        <v/>
      </c>
      <c r="S27" s="759"/>
      <c r="T27" s="755"/>
      <c r="AC27" s="479"/>
      <c r="AD27" s="818" t="s">
        <v>191</v>
      </c>
      <c r="AE27" s="816">
        <v>15</v>
      </c>
      <c r="AF27" s="816" t="s">
        <v>170</v>
      </c>
      <c r="AG27" s="816" t="s">
        <v>1018</v>
      </c>
      <c r="AH27" s="817"/>
      <c r="AI27" s="817"/>
      <c r="AJ27" s="816" t="s">
        <v>968</v>
      </c>
      <c r="AK27" s="817"/>
      <c r="AL27" s="817"/>
      <c r="AM27" s="817"/>
      <c r="AN27" s="817"/>
      <c r="AO27" s="816" t="s">
        <v>417</v>
      </c>
      <c r="AP27" s="817"/>
      <c r="AQ27" s="816" t="s">
        <v>417</v>
      </c>
      <c r="AR27" s="816" t="s">
        <v>417</v>
      </c>
      <c r="AS27" s="817"/>
      <c r="AT27" s="816" t="s">
        <v>417</v>
      </c>
      <c r="AU27" s="817"/>
      <c r="AV27" s="817"/>
      <c r="AW27" s="817"/>
      <c r="AX27" s="816" t="s">
        <v>417</v>
      </c>
      <c r="AY27" s="816" t="s">
        <v>417</v>
      </c>
      <c r="AZ27" s="816" t="s">
        <v>417</v>
      </c>
      <c r="BA27" s="817"/>
      <c r="BB27" s="633" t="s">
        <v>191</v>
      </c>
    </row>
    <row r="28" spans="2:54" ht="20.100000000000001" customHeight="1" thickBot="1" x14ac:dyDescent="0.25">
      <c r="C28" s="748"/>
      <c r="D28" s="748"/>
      <c r="E28" s="748"/>
      <c r="F28" s="748"/>
      <c r="G28" s="744"/>
      <c r="H28" s="744"/>
      <c r="I28" s="744"/>
      <c r="J28" s="744"/>
      <c r="K28" s="770"/>
      <c r="L28" s="740"/>
      <c r="M28" s="740"/>
      <c r="N28" s="740"/>
      <c r="O28" s="740"/>
      <c r="P28" s="740"/>
      <c r="Q28" s="788"/>
      <c r="R28" s="769"/>
      <c r="S28" s="759"/>
      <c r="T28" s="755"/>
      <c r="AC28" s="479"/>
      <c r="AD28" s="815" t="s">
        <v>198</v>
      </c>
      <c r="AE28" s="816">
        <v>16</v>
      </c>
      <c r="AF28" s="816" t="s">
        <v>170</v>
      </c>
      <c r="AG28" s="816" t="s">
        <v>1015</v>
      </c>
      <c r="AH28" s="817"/>
      <c r="AI28" s="817"/>
      <c r="AJ28" s="821" t="s">
        <v>427</v>
      </c>
      <c r="AK28" s="817"/>
      <c r="AL28" s="817"/>
      <c r="AM28" s="817"/>
      <c r="AN28" s="817"/>
      <c r="AO28" s="817"/>
      <c r="AP28" s="816" t="s">
        <v>417</v>
      </c>
      <c r="AQ28" s="816"/>
      <c r="AR28" s="816" t="s">
        <v>417</v>
      </c>
      <c r="AS28" s="816" t="s">
        <v>417</v>
      </c>
      <c r="AT28" s="817"/>
      <c r="AU28" s="816" t="s">
        <v>417</v>
      </c>
      <c r="AV28" s="816" t="s">
        <v>417</v>
      </c>
      <c r="AW28" s="816"/>
      <c r="AX28" s="817"/>
      <c r="AY28" s="817"/>
      <c r="AZ28" s="816" t="s">
        <v>417</v>
      </c>
      <c r="BA28" s="816" t="s">
        <v>417</v>
      </c>
      <c r="BB28" s="814" t="s">
        <v>198</v>
      </c>
    </row>
    <row r="29" spans="2:54" ht="20.100000000000001" customHeight="1" x14ac:dyDescent="0.2">
      <c r="C29" s="748"/>
      <c r="D29" s="748"/>
      <c r="E29" s="748"/>
      <c r="F29" s="748"/>
      <c r="G29" s="744"/>
      <c r="H29" s="744"/>
      <c r="I29" s="744"/>
      <c r="J29" s="744"/>
      <c r="K29" s="744"/>
      <c r="R29" s="757"/>
      <c r="S29" s="759"/>
      <c r="T29" s="755"/>
      <c r="AC29" s="479"/>
      <c r="AD29" s="815" t="s">
        <v>201</v>
      </c>
      <c r="AE29" s="816">
        <v>16</v>
      </c>
      <c r="AF29" s="816" t="s">
        <v>171</v>
      </c>
      <c r="AG29" s="816" t="s">
        <v>974</v>
      </c>
      <c r="AH29" s="817"/>
      <c r="AI29" s="817"/>
      <c r="AJ29" s="821" t="s">
        <v>448</v>
      </c>
      <c r="AK29" s="817"/>
      <c r="AL29" s="816" t="s">
        <v>417</v>
      </c>
      <c r="AM29" s="817"/>
      <c r="AN29" s="817"/>
      <c r="AO29" s="816" t="s">
        <v>417</v>
      </c>
      <c r="AP29" s="816" t="s">
        <v>417</v>
      </c>
      <c r="AQ29" s="816" t="s">
        <v>417</v>
      </c>
      <c r="AR29" s="816" t="s">
        <v>417</v>
      </c>
      <c r="AS29" s="816" t="s">
        <v>417</v>
      </c>
      <c r="AT29" s="817"/>
      <c r="AU29" s="816" t="s">
        <v>417</v>
      </c>
      <c r="AV29" s="817"/>
      <c r="AW29" s="817"/>
      <c r="AX29" s="817"/>
      <c r="AY29" s="817"/>
      <c r="AZ29" s="816" t="s">
        <v>417</v>
      </c>
      <c r="BA29" s="816" t="s">
        <v>417</v>
      </c>
      <c r="BB29" s="814" t="s">
        <v>201</v>
      </c>
    </row>
    <row r="30" spans="2:54" ht="20.100000000000001" customHeight="1" x14ac:dyDescent="0.2">
      <c r="C30" s="748"/>
      <c r="D30" s="748"/>
      <c r="E30" s="748"/>
      <c r="F30" s="748"/>
      <c r="G30" s="744"/>
      <c r="H30" s="744"/>
      <c r="I30" s="744"/>
      <c r="J30" s="744"/>
      <c r="K30" s="1086"/>
      <c r="L30" s="744"/>
      <c r="M30" s="744"/>
      <c r="N30" s="744"/>
      <c r="O30" s="744"/>
      <c r="P30" s="744"/>
      <c r="Q30" s="744"/>
      <c r="R30" s="757"/>
      <c r="S30" s="759"/>
      <c r="T30" s="755"/>
      <c r="AC30" s="479"/>
      <c r="AD30" s="815" t="s">
        <v>966</v>
      </c>
      <c r="AE30" s="816">
        <v>15</v>
      </c>
      <c r="AF30" s="816" t="s">
        <v>171</v>
      </c>
      <c r="AG30" s="816" t="s">
        <v>510</v>
      </c>
      <c r="AH30" s="817"/>
      <c r="AI30" s="817"/>
      <c r="AJ30" s="821" t="s">
        <v>427</v>
      </c>
      <c r="AK30" s="817"/>
      <c r="AL30" s="817"/>
      <c r="AM30" s="816" t="s">
        <v>417</v>
      </c>
      <c r="AN30" s="817"/>
      <c r="AO30" s="817"/>
      <c r="AP30" s="817"/>
      <c r="AQ30" s="816"/>
      <c r="AR30" s="816" t="s">
        <v>417</v>
      </c>
      <c r="AS30" s="816" t="s">
        <v>417</v>
      </c>
      <c r="AT30" s="817"/>
      <c r="AU30" s="817"/>
      <c r="AV30" s="817"/>
      <c r="AW30" s="817"/>
      <c r="AX30" s="816" t="s">
        <v>417</v>
      </c>
      <c r="AY30" s="816" t="s">
        <v>417</v>
      </c>
      <c r="AZ30" s="817"/>
      <c r="BA30" s="816"/>
      <c r="BB30" s="814" t="s">
        <v>966</v>
      </c>
    </row>
    <row r="31" spans="2:54" ht="20.100000000000001" customHeight="1" x14ac:dyDescent="0.2">
      <c r="C31" s="748"/>
      <c r="D31" s="748"/>
      <c r="E31" s="748"/>
      <c r="F31" s="748"/>
      <c r="G31" s="744"/>
      <c r="H31" s="744"/>
      <c r="I31" s="744"/>
      <c r="J31" s="744"/>
      <c r="K31" s="1087"/>
      <c r="L31" s="1074"/>
      <c r="M31" s="1074"/>
      <c r="N31" s="1074"/>
      <c r="O31" s="1074"/>
      <c r="P31" s="1052"/>
      <c r="Q31" s="1052"/>
      <c r="R31" s="757"/>
      <c r="S31" s="759"/>
      <c r="T31" s="755"/>
      <c r="AC31" s="479"/>
      <c r="AD31" s="815" t="s">
        <v>995</v>
      </c>
      <c r="AE31" s="816">
        <v>17</v>
      </c>
      <c r="AF31" s="816" t="s">
        <v>170</v>
      </c>
      <c r="AG31" s="816" t="s">
        <v>1016</v>
      </c>
      <c r="AH31" s="817"/>
      <c r="AI31" s="817"/>
      <c r="AJ31" s="816" t="s">
        <v>968</v>
      </c>
      <c r="AK31" s="817"/>
      <c r="AL31" s="817"/>
      <c r="AM31" s="817"/>
      <c r="AN31" s="816" t="s">
        <v>417</v>
      </c>
      <c r="AO31" s="816" t="s">
        <v>417</v>
      </c>
      <c r="AP31" s="816" t="s">
        <v>417</v>
      </c>
      <c r="AQ31" s="817"/>
      <c r="AR31" s="817"/>
      <c r="AS31" s="816" t="s">
        <v>417</v>
      </c>
      <c r="AT31" s="817"/>
      <c r="AU31" s="816" t="s">
        <v>417</v>
      </c>
      <c r="AV31" s="817"/>
      <c r="AW31" s="817"/>
      <c r="AX31" s="817"/>
      <c r="AY31" s="817"/>
      <c r="AZ31" s="817"/>
      <c r="BA31" s="816" t="s">
        <v>417</v>
      </c>
      <c r="BB31" s="814" t="s">
        <v>995</v>
      </c>
    </row>
    <row r="32" spans="2:54" ht="20.100000000000001" customHeight="1" x14ac:dyDescent="0.2">
      <c r="C32" s="748"/>
      <c r="D32" s="748"/>
      <c r="E32" s="748"/>
      <c r="F32" s="748"/>
      <c r="G32" s="744"/>
      <c r="H32" s="744"/>
      <c r="I32" s="744"/>
      <c r="J32" s="744"/>
      <c r="K32" s="1087"/>
      <c r="L32" s="1074"/>
      <c r="M32" s="1074"/>
      <c r="N32" s="1074"/>
      <c r="O32" s="1074"/>
      <c r="P32" s="1052"/>
      <c r="Q32" s="1052"/>
      <c r="R32" s="757"/>
      <c r="S32" s="759"/>
      <c r="T32" s="755"/>
      <c r="AC32" s="479"/>
      <c r="AD32" s="815" t="s">
        <v>218</v>
      </c>
      <c r="AE32" s="816">
        <v>16</v>
      </c>
      <c r="AF32" s="816" t="s">
        <v>166</v>
      </c>
      <c r="AG32" s="816" t="s">
        <v>506</v>
      </c>
      <c r="AH32" s="817"/>
      <c r="AI32" s="817"/>
      <c r="AJ32" s="821" t="s">
        <v>422</v>
      </c>
      <c r="AK32" s="817"/>
      <c r="AL32" s="816" t="s">
        <v>417</v>
      </c>
      <c r="AM32" s="816" t="s">
        <v>417</v>
      </c>
      <c r="AN32" s="817"/>
      <c r="AO32" s="817"/>
      <c r="AP32" s="816" t="s">
        <v>417</v>
      </c>
      <c r="AQ32" s="817"/>
      <c r="AR32" s="817"/>
      <c r="AS32" s="816" t="s">
        <v>417</v>
      </c>
      <c r="AT32" s="817"/>
      <c r="AU32" s="816" t="s">
        <v>417</v>
      </c>
      <c r="AV32" s="816" t="s">
        <v>417</v>
      </c>
      <c r="AW32" s="816"/>
      <c r="AX32" s="817"/>
      <c r="AY32" s="817"/>
      <c r="AZ32" s="816" t="s">
        <v>417</v>
      </c>
      <c r="BA32" s="816" t="s">
        <v>417</v>
      </c>
      <c r="BB32" s="814" t="s">
        <v>218</v>
      </c>
    </row>
    <row r="33" spans="3:69" ht="20.100000000000001" customHeight="1" x14ac:dyDescent="0.2">
      <c r="C33" s="748"/>
      <c r="D33" s="748"/>
      <c r="E33" s="748"/>
      <c r="F33" s="748"/>
      <c r="G33" s="744"/>
      <c r="H33" s="744"/>
      <c r="I33" s="744"/>
      <c r="J33" s="744"/>
      <c r="K33" s="1087"/>
      <c r="L33" s="1074"/>
      <c r="M33" s="1074"/>
      <c r="N33" s="1074"/>
      <c r="O33" s="1074"/>
      <c r="P33" s="1052"/>
      <c r="Q33" s="1052"/>
      <c r="R33" s="757"/>
      <c r="S33" s="759"/>
      <c r="T33" s="755"/>
      <c r="AC33" s="479"/>
      <c r="AD33" s="815" t="s">
        <v>228</v>
      </c>
      <c r="AE33" s="822">
        <v>16</v>
      </c>
      <c r="AF33" s="816" t="s">
        <v>171</v>
      </c>
      <c r="AG33" s="816" t="s">
        <v>506</v>
      </c>
      <c r="AH33" s="817"/>
      <c r="AI33" s="817"/>
      <c r="AJ33" s="821" t="s">
        <v>422</v>
      </c>
      <c r="AK33" s="817"/>
      <c r="AL33" s="816" t="s">
        <v>417</v>
      </c>
      <c r="AM33" s="817"/>
      <c r="AN33" s="817"/>
      <c r="AO33" s="817"/>
      <c r="AP33" s="816" t="s">
        <v>417</v>
      </c>
      <c r="AQ33" s="817"/>
      <c r="AR33" s="816" t="s">
        <v>417</v>
      </c>
      <c r="AS33" s="816" t="s">
        <v>417</v>
      </c>
      <c r="AT33" s="817"/>
      <c r="AU33" s="816" t="s">
        <v>417</v>
      </c>
      <c r="AV33" s="816" t="s">
        <v>417</v>
      </c>
      <c r="AW33" s="816"/>
      <c r="AX33" s="817"/>
      <c r="AY33" s="817"/>
      <c r="AZ33" s="816" t="s">
        <v>417</v>
      </c>
      <c r="BA33" s="816" t="s">
        <v>417</v>
      </c>
      <c r="BB33" s="814" t="s">
        <v>228</v>
      </c>
    </row>
    <row r="34" spans="3:69" ht="20.100000000000001" customHeight="1" x14ac:dyDescent="0.2">
      <c r="C34" s="748"/>
      <c r="D34" s="748"/>
      <c r="E34" s="748"/>
      <c r="F34" s="748"/>
      <c r="G34" s="744"/>
      <c r="H34" s="744"/>
      <c r="I34" s="744"/>
      <c r="J34" s="744"/>
      <c r="K34" s="1087"/>
      <c r="L34" s="1074"/>
      <c r="M34" s="1074"/>
      <c r="N34" s="1074"/>
      <c r="O34" s="1074"/>
      <c r="P34" s="1052"/>
      <c r="Q34" s="1052"/>
      <c r="R34" s="757"/>
      <c r="S34" s="759"/>
      <c r="T34" s="755"/>
      <c r="AC34" s="479"/>
      <c r="AD34" s="815" t="s">
        <v>221</v>
      </c>
      <c r="AE34" s="816">
        <v>16</v>
      </c>
      <c r="AF34" s="816" t="s">
        <v>170</v>
      </c>
      <c r="AG34" s="821" t="s">
        <v>977</v>
      </c>
      <c r="AH34" s="817"/>
      <c r="AI34" s="817"/>
      <c r="AJ34" s="816" t="s">
        <v>968</v>
      </c>
      <c r="AK34" s="817"/>
      <c r="AL34" s="817"/>
      <c r="AM34" s="817"/>
      <c r="AN34" s="816" t="s">
        <v>417</v>
      </c>
      <c r="AO34" s="817"/>
      <c r="AP34" s="816" t="s">
        <v>417</v>
      </c>
      <c r="AQ34" s="817"/>
      <c r="AR34" s="816" t="s">
        <v>417</v>
      </c>
      <c r="AS34" s="816" t="s">
        <v>417</v>
      </c>
      <c r="AT34" s="816" t="s">
        <v>417</v>
      </c>
      <c r="AU34" s="816" t="s">
        <v>417</v>
      </c>
      <c r="AV34" s="817"/>
      <c r="AW34" s="817"/>
      <c r="AX34" s="817"/>
      <c r="AY34" s="817"/>
      <c r="AZ34" s="816" t="s">
        <v>417</v>
      </c>
      <c r="BA34" s="816" t="s">
        <v>417</v>
      </c>
      <c r="BB34" s="814" t="s">
        <v>221</v>
      </c>
    </row>
    <row r="35" spans="3:69" ht="20.100000000000001" customHeight="1" x14ac:dyDescent="0.2">
      <c r="C35" s="748"/>
      <c r="D35" s="35"/>
      <c r="E35" s="35"/>
      <c r="F35" s="35"/>
      <c r="G35" s="744"/>
      <c r="H35" s="744"/>
      <c r="I35" s="744"/>
      <c r="J35" s="744"/>
      <c r="K35" s="744"/>
      <c r="L35" s="1074"/>
      <c r="M35" s="1074"/>
      <c r="N35" s="1074"/>
      <c r="O35" s="1074"/>
      <c r="P35" s="1052"/>
      <c r="Q35" s="1052"/>
      <c r="R35" s="757"/>
      <c r="S35" s="759"/>
      <c r="T35" s="755"/>
      <c r="AC35" s="479"/>
      <c r="AD35" s="815" t="s">
        <v>236</v>
      </c>
      <c r="AE35" s="816">
        <v>15</v>
      </c>
      <c r="AF35" s="816" t="s">
        <v>170</v>
      </c>
      <c r="AG35" s="816" t="s">
        <v>506</v>
      </c>
      <c r="AH35" s="817"/>
      <c r="AI35" s="817"/>
      <c r="AJ35" s="816" t="s">
        <v>968</v>
      </c>
      <c r="AK35" s="817"/>
      <c r="AL35" s="816" t="s">
        <v>417</v>
      </c>
      <c r="AM35" s="816" t="s">
        <v>417</v>
      </c>
      <c r="AN35" s="817"/>
      <c r="AO35" s="816" t="s">
        <v>417</v>
      </c>
      <c r="AP35" s="817"/>
      <c r="AQ35" s="817"/>
      <c r="AR35" s="817"/>
      <c r="AS35" s="816" t="s">
        <v>417</v>
      </c>
      <c r="AT35" s="816" t="s">
        <v>417</v>
      </c>
      <c r="AU35" s="817"/>
      <c r="AV35" s="817"/>
      <c r="AW35" s="816" t="s">
        <v>417</v>
      </c>
      <c r="AX35" s="817"/>
      <c r="AY35" s="816" t="s">
        <v>417</v>
      </c>
      <c r="AZ35" s="816" t="s">
        <v>417</v>
      </c>
      <c r="BA35" s="816"/>
      <c r="BB35" s="814" t="s">
        <v>236</v>
      </c>
    </row>
    <row r="36" spans="3:69" ht="20.100000000000001" customHeight="1" x14ac:dyDescent="0.2">
      <c r="C36" s="748"/>
      <c r="D36" s="748"/>
      <c r="E36" s="748"/>
      <c r="F36" s="748"/>
      <c r="G36" s="744"/>
      <c r="H36" s="744"/>
      <c r="I36" s="744"/>
      <c r="J36" s="744"/>
      <c r="K36" s="744"/>
      <c r="L36" s="744"/>
      <c r="M36" s="744"/>
      <c r="N36" s="744"/>
      <c r="O36" s="744"/>
      <c r="P36" s="744"/>
      <c r="R36" s="757"/>
      <c r="S36" s="759"/>
      <c r="T36" s="755"/>
      <c r="AC36" s="479"/>
      <c r="AD36" s="815" t="s">
        <v>245</v>
      </c>
      <c r="AE36" s="816">
        <v>15</v>
      </c>
      <c r="AF36" s="816" t="s">
        <v>170</v>
      </c>
      <c r="AG36" s="816" t="s">
        <v>1017</v>
      </c>
      <c r="AH36" s="817"/>
      <c r="AI36" s="817"/>
      <c r="AJ36" s="821" t="s">
        <v>427</v>
      </c>
      <c r="AK36" s="816" t="s">
        <v>417</v>
      </c>
      <c r="AL36" s="816" t="s">
        <v>417</v>
      </c>
      <c r="AM36" s="817"/>
      <c r="AN36" s="817"/>
      <c r="AO36" s="816" t="s">
        <v>417</v>
      </c>
      <c r="AP36" s="817"/>
      <c r="AQ36" s="817"/>
      <c r="AR36" s="816" t="s">
        <v>417</v>
      </c>
      <c r="AS36" s="816" t="s">
        <v>417</v>
      </c>
      <c r="AT36" s="817"/>
      <c r="AU36" s="816" t="s">
        <v>417</v>
      </c>
      <c r="AV36" s="816" t="s">
        <v>417</v>
      </c>
      <c r="AW36" s="816"/>
      <c r="AX36" s="817"/>
      <c r="AY36" s="817"/>
      <c r="AZ36" s="816" t="s">
        <v>417</v>
      </c>
      <c r="BA36" s="816" t="s">
        <v>417</v>
      </c>
      <c r="BB36" s="814" t="s">
        <v>245</v>
      </c>
    </row>
    <row r="37" spans="3:69" ht="20.100000000000001" customHeight="1" x14ac:dyDescent="0.2">
      <c r="C37" s="743"/>
      <c r="D37" s="743"/>
      <c r="E37" s="743"/>
      <c r="F37" s="743"/>
      <c r="G37" s="744"/>
      <c r="H37" s="744"/>
      <c r="I37" s="744"/>
      <c r="L37" s="744"/>
      <c r="M37" s="744"/>
      <c r="N37" s="744"/>
      <c r="O37" s="744"/>
      <c r="P37" s="744"/>
      <c r="R37" s="757"/>
      <c r="S37" s="759"/>
      <c r="T37" s="755"/>
      <c r="AC37" s="479"/>
      <c r="AD37" s="815" t="s">
        <v>265</v>
      </c>
      <c r="AE37" s="816">
        <v>16</v>
      </c>
      <c r="AF37" s="816" t="s">
        <v>170</v>
      </c>
      <c r="AG37" s="816" t="s">
        <v>511</v>
      </c>
      <c r="AH37" s="823"/>
      <c r="AI37" s="817"/>
      <c r="AJ37" s="821" t="s">
        <v>422</v>
      </c>
      <c r="AK37" s="817"/>
      <c r="AL37" s="817"/>
      <c r="AM37" s="817"/>
      <c r="AN37" s="817"/>
      <c r="AO37" s="816" t="s">
        <v>417</v>
      </c>
      <c r="AP37" s="817"/>
      <c r="AQ37" s="817"/>
      <c r="AR37" s="816" t="s">
        <v>417</v>
      </c>
      <c r="AS37" s="817"/>
      <c r="AT37" s="817"/>
      <c r="AU37" s="817"/>
      <c r="AV37" s="817"/>
      <c r="AW37" s="816" t="s">
        <v>417</v>
      </c>
      <c r="AX37" s="816" t="s">
        <v>417</v>
      </c>
      <c r="AY37" s="816" t="s">
        <v>417</v>
      </c>
      <c r="AZ37" s="816" t="s">
        <v>417</v>
      </c>
      <c r="BA37" s="817"/>
      <c r="BB37" s="814" t="s">
        <v>265</v>
      </c>
    </row>
    <row r="38" spans="3:69" ht="20.100000000000001" customHeight="1" x14ac:dyDescent="0.2">
      <c r="R38" s="757"/>
      <c r="AC38" s="479"/>
      <c r="AD38" s="815" t="s">
        <v>275</v>
      </c>
      <c r="AE38" s="816">
        <v>17</v>
      </c>
      <c r="AF38" s="816" t="s">
        <v>170</v>
      </c>
      <c r="AG38" s="816" t="s">
        <v>1018</v>
      </c>
      <c r="AH38" s="795"/>
      <c r="AI38" s="817"/>
      <c r="AJ38" s="821" t="s">
        <v>422</v>
      </c>
      <c r="AK38" s="817"/>
      <c r="AL38" s="817"/>
      <c r="AM38" s="816" t="s">
        <v>417</v>
      </c>
      <c r="AN38" s="817"/>
      <c r="AO38" s="816" t="s">
        <v>417</v>
      </c>
      <c r="AP38" s="816" t="s">
        <v>417</v>
      </c>
      <c r="AQ38" s="817"/>
      <c r="AR38" s="817"/>
      <c r="AS38" s="817"/>
      <c r="AT38" s="817"/>
      <c r="AU38" s="816" t="s">
        <v>417</v>
      </c>
      <c r="AV38" s="816" t="s">
        <v>417</v>
      </c>
      <c r="AW38" s="816"/>
      <c r="AX38" s="817"/>
      <c r="AY38" s="817"/>
      <c r="AZ38" s="816" t="s">
        <v>417</v>
      </c>
      <c r="BA38" s="816" t="s">
        <v>417</v>
      </c>
      <c r="BB38" s="814" t="s">
        <v>275</v>
      </c>
    </row>
    <row r="39" spans="3:69" ht="20.100000000000001" customHeight="1" x14ac:dyDescent="0.2">
      <c r="AC39" s="479"/>
      <c r="AD39" s="815" t="s">
        <v>996</v>
      </c>
      <c r="AE39" s="816">
        <v>16</v>
      </c>
      <c r="AF39" s="816" t="s">
        <v>170</v>
      </c>
      <c r="AG39" s="821" t="s">
        <v>1017</v>
      </c>
      <c r="AH39" s="817"/>
      <c r="AI39" s="817"/>
      <c r="AJ39" s="821" t="s">
        <v>427</v>
      </c>
      <c r="AK39" s="817"/>
      <c r="AL39" s="816" t="s">
        <v>417</v>
      </c>
      <c r="AM39" s="817"/>
      <c r="AN39" s="817"/>
      <c r="AO39" s="816" t="s">
        <v>417</v>
      </c>
      <c r="AP39" s="817"/>
      <c r="AQ39" s="816" t="s">
        <v>417</v>
      </c>
      <c r="AR39" s="816" t="s">
        <v>417</v>
      </c>
      <c r="AS39" s="817"/>
      <c r="AT39" s="817"/>
      <c r="AU39" s="817"/>
      <c r="AV39" s="816" t="s">
        <v>417</v>
      </c>
      <c r="AW39" s="816"/>
      <c r="AX39" s="817"/>
      <c r="AY39" s="817"/>
      <c r="AZ39" s="816" t="s">
        <v>417</v>
      </c>
      <c r="BA39" s="816" t="s">
        <v>417</v>
      </c>
      <c r="BB39" s="814" t="s">
        <v>996</v>
      </c>
    </row>
    <row r="40" spans="3:69" ht="20.100000000000001" customHeight="1" thickBot="1" x14ac:dyDescent="0.25">
      <c r="V40" s="479"/>
      <c r="AD40" s="815" t="s">
        <v>301</v>
      </c>
      <c r="AE40" s="816">
        <v>16</v>
      </c>
      <c r="AF40" s="816" t="s">
        <v>171</v>
      </c>
      <c r="AG40" s="816" t="s">
        <v>980</v>
      </c>
      <c r="AH40" s="817"/>
      <c r="AI40" s="817"/>
      <c r="AJ40" s="816" t="s">
        <v>968</v>
      </c>
      <c r="AK40" s="817"/>
      <c r="AL40" s="817"/>
      <c r="AM40" s="817"/>
      <c r="AN40" s="817"/>
      <c r="AO40" s="816" t="s">
        <v>417</v>
      </c>
      <c r="AP40" s="817"/>
      <c r="AQ40" s="817"/>
      <c r="AR40" s="817"/>
      <c r="AS40" s="816" t="s">
        <v>417</v>
      </c>
      <c r="AT40" s="817"/>
      <c r="AU40" s="817"/>
      <c r="AV40" s="817"/>
      <c r="AW40" s="817"/>
      <c r="AX40" s="816" t="s">
        <v>417</v>
      </c>
      <c r="AY40" s="816" t="s">
        <v>417</v>
      </c>
      <c r="AZ40" s="817"/>
      <c r="BA40" s="817"/>
      <c r="BB40" s="819" t="s">
        <v>301</v>
      </c>
    </row>
    <row r="41" spans="3:69" ht="20.100000000000001" customHeight="1" x14ac:dyDescent="0.2">
      <c r="S41" s="490"/>
      <c r="T41" s="490"/>
      <c r="U41" s="490"/>
      <c r="V41" s="490"/>
      <c r="W41" s="135"/>
      <c r="Z41" s="746"/>
      <c r="AA41" s="746"/>
      <c r="AB41" s="746"/>
      <c r="AC41" s="746"/>
    </row>
    <row r="42" spans="3:69" ht="20.100000000000001" customHeight="1" x14ac:dyDescent="0.2">
      <c r="S42" s="392"/>
      <c r="V42" s="392"/>
      <c r="W42" s="392"/>
      <c r="AD42" s="490"/>
      <c r="AE42" s="490"/>
      <c r="AF42" s="490"/>
      <c r="AG42" s="490"/>
      <c r="AH42" s="490"/>
      <c r="AI42" s="490"/>
      <c r="AJ42" s="490"/>
    </row>
    <row r="43" spans="3:69" ht="20.100000000000001" customHeight="1" x14ac:dyDescent="0.2">
      <c r="S43" s="1056"/>
      <c r="T43" s="1056"/>
      <c r="U43" s="1056"/>
      <c r="W43" s="1085"/>
      <c r="X43" s="1085"/>
      <c r="Y43" s="1085"/>
      <c r="AE43" s="392"/>
    </row>
    <row r="44" spans="3:69" ht="20.100000000000001" customHeight="1" x14ac:dyDescent="0.2">
      <c r="S44" s="1084"/>
      <c r="T44" s="1084"/>
      <c r="U44" s="1084"/>
      <c r="W44" s="1052"/>
      <c r="X44" s="1052"/>
      <c r="Y44" s="1052"/>
      <c r="Z44" s="1052"/>
      <c r="AA44" s="1052"/>
      <c r="AB44" s="744"/>
      <c r="AC44" s="744"/>
      <c r="AD44" s="747"/>
      <c r="AE44" s="9"/>
      <c r="BA44" s="744"/>
      <c r="BB44" s="744"/>
      <c r="BC44" s="744"/>
      <c r="BD44" s="744"/>
      <c r="BE44" s="744"/>
      <c r="BF44" s="744"/>
      <c r="BG44" s="744"/>
      <c r="BH44" s="744"/>
      <c r="BI44" s="744"/>
      <c r="BJ44" s="744"/>
      <c r="BK44" s="744"/>
      <c r="BL44" s="744"/>
      <c r="BM44" s="744"/>
      <c r="BN44" s="744"/>
      <c r="BO44" s="744"/>
      <c r="BP44" s="744"/>
      <c r="BQ44" s="744"/>
    </row>
    <row r="45" spans="3:69" ht="20.100000000000001" customHeight="1" x14ac:dyDescent="0.2">
      <c r="AD45" s="744"/>
      <c r="AE45" s="744"/>
      <c r="AF45" s="744"/>
      <c r="AG45" s="744"/>
      <c r="AH45" s="744"/>
      <c r="AI45" s="744"/>
      <c r="AJ45" s="744"/>
      <c r="AK45" s="744"/>
      <c r="AL45" s="744"/>
      <c r="AM45" s="744"/>
      <c r="AN45" s="744"/>
      <c r="AO45" s="744"/>
      <c r="AP45" s="744"/>
      <c r="AQ45" s="744"/>
      <c r="AR45" s="744"/>
      <c r="AS45" s="744"/>
      <c r="AT45" s="744"/>
      <c r="AU45" s="744"/>
      <c r="AV45" s="744"/>
      <c r="AW45" s="744"/>
      <c r="AX45" s="744"/>
      <c r="AY45" s="744"/>
      <c r="AZ45" s="744"/>
    </row>
    <row r="46" spans="3:69" ht="20.100000000000001" customHeight="1" x14ac:dyDescent="0.2">
      <c r="AD46" s="489"/>
      <c r="AE46" s="488"/>
      <c r="AF46" s="488"/>
      <c r="AG46" s="488"/>
      <c r="AH46" s="488"/>
      <c r="AI46" s="488"/>
      <c r="AJ46" s="488"/>
      <c r="AK46" s="488"/>
      <c r="AL46" s="488"/>
    </row>
    <row r="47" spans="3:69" ht="20.100000000000001" customHeight="1" x14ac:dyDescent="0.2">
      <c r="S47" s="491"/>
      <c r="AD47" s="489"/>
      <c r="AE47" s="488"/>
      <c r="AF47" s="488"/>
      <c r="AG47" s="488"/>
      <c r="AH47" s="488"/>
      <c r="AI47" s="488"/>
      <c r="AJ47" s="488"/>
      <c r="AK47" s="488"/>
      <c r="AL47" s="488"/>
    </row>
    <row r="48" spans="3:69" ht="19.5" customHeight="1" x14ac:dyDescent="0.2">
      <c r="AD48" s="489"/>
      <c r="AE48" s="488"/>
    </row>
    <row r="49" spans="30:31" ht="20.100000000000001" customHeight="1" x14ac:dyDescent="0.2">
      <c r="AD49" s="489"/>
      <c r="AE49" s="488"/>
    </row>
    <row r="50" spans="30:31" ht="20.100000000000001" customHeight="1" x14ac:dyDescent="0.2">
      <c r="AD50" s="489"/>
      <c r="AE50" s="488"/>
    </row>
    <row r="51" spans="30:31" ht="20.100000000000001" customHeight="1" x14ac:dyDescent="0.2">
      <c r="AD51" s="489"/>
      <c r="AE51" s="488"/>
    </row>
    <row r="52" spans="30:31" ht="20.100000000000001" customHeight="1" x14ac:dyDescent="0.2">
      <c r="AD52" s="489"/>
      <c r="AE52" s="488"/>
    </row>
    <row r="53" spans="30:31" ht="20.100000000000001" customHeight="1" x14ac:dyDescent="0.2">
      <c r="AD53" s="489"/>
      <c r="AE53" s="488"/>
    </row>
    <row r="54" spans="30:31" ht="20.100000000000001" customHeight="1" x14ac:dyDescent="0.2">
      <c r="AD54" s="489"/>
      <c r="AE54" s="488"/>
    </row>
    <row r="55" spans="30:31" ht="20.100000000000001" customHeight="1" x14ac:dyDescent="0.2">
      <c r="AD55" s="489"/>
      <c r="AE55" s="488"/>
    </row>
    <row r="56" spans="30:31" ht="20.100000000000001" customHeight="1" x14ac:dyDescent="0.2">
      <c r="AD56" s="489"/>
      <c r="AE56" s="488"/>
    </row>
    <row r="57" spans="30:31" ht="20.100000000000001" customHeight="1" x14ac:dyDescent="0.2">
      <c r="AD57" s="489"/>
      <c r="AE57" s="488"/>
    </row>
    <row r="58" spans="30:31" ht="20.100000000000001" customHeight="1" x14ac:dyDescent="0.2">
      <c r="AD58" s="489"/>
      <c r="AE58" s="488"/>
    </row>
    <row r="59" spans="30:31" ht="20.100000000000001" customHeight="1" x14ac:dyDescent="0.2">
      <c r="AD59" s="489"/>
      <c r="AE59" s="488"/>
    </row>
    <row r="60" spans="30:31" ht="20.100000000000001" customHeight="1" x14ac:dyDescent="0.2">
      <c r="AD60" s="489"/>
      <c r="AE60" s="488"/>
    </row>
    <row r="61" spans="30:31" ht="20.100000000000001" customHeight="1" x14ac:dyDescent="0.2">
      <c r="AD61" s="489"/>
      <c r="AE61" s="488"/>
    </row>
    <row r="62" spans="30:31" ht="15.75" x14ac:dyDescent="0.2">
      <c r="AD62" s="489"/>
      <c r="AE62" s="488"/>
    </row>
    <row r="63" spans="30:31" ht="15.75" x14ac:dyDescent="0.2">
      <c r="AD63" s="489"/>
      <c r="AE63" s="488"/>
    </row>
    <row r="65" spans="18:19" ht="15" x14ac:dyDescent="0.2">
      <c r="S65" s="168"/>
    </row>
    <row r="66" spans="18:19" ht="15" x14ac:dyDescent="0.2">
      <c r="S66" s="168"/>
    </row>
    <row r="67" spans="18:19" ht="15" x14ac:dyDescent="0.2">
      <c r="S67" s="168"/>
    </row>
    <row r="69" spans="18:19" ht="15" x14ac:dyDescent="0.2">
      <c r="R69" s="168"/>
    </row>
    <row r="70" spans="18:19" ht="15" x14ac:dyDescent="0.2">
      <c r="R70" s="168"/>
    </row>
    <row r="71" spans="18:19" ht="15" x14ac:dyDescent="0.2">
      <c r="R71" s="168"/>
    </row>
    <row r="72" spans="18:19" ht="15" x14ac:dyDescent="0.2">
      <c r="R72" s="168"/>
    </row>
    <row r="73" spans="18:19" ht="15" x14ac:dyDescent="0.2">
      <c r="R73" s="168"/>
    </row>
    <row r="74" spans="18:19" ht="15" x14ac:dyDescent="0.2">
      <c r="R74" s="168"/>
    </row>
    <row r="75" spans="18:19" ht="15" x14ac:dyDescent="0.2">
      <c r="R75" s="168"/>
    </row>
  </sheetData>
  <sheetProtection sheet="1" objects="1" scenarios="1" formatCells="0"/>
  <mergeCells count="68">
    <mergeCell ref="K30:K34"/>
    <mergeCell ref="C22:F22"/>
    <mergeCell ref="C23:F23"/>
    <mergeCell ref="C24:F24"/>
    <mergeCell ref="P32:Q32"/>
    <mergeCell ref="L33:O33"/>
    <mergeCell ref="P33:Q33"/>
    <mergeCell ref="L21:O21"/>
    <mergeCell ref="L22:O22"/>
    <mergeCell ref="L24:O24"/>
    <mergeCell ref="S44:U44"/>
    <mergeCell ref="W44:AA44"/>
    <mergeCell ref="W43:Y43"/>
    <mergeCell ref="P31:Q31"/>
    <mergeCell ref="L32:O32"/>
    <mergeCell ref="L34:O34"/>
    <mergeCell ref="P34:Q34"/>
    <mergeCell ref="L8:O8"/>
    <mergeCell ref="C9:E9"/>
    <mergeCell ref="L9:N9"/>
    <mergeCell ref="C10:F10"/>
    <mergeCell ref="L10:O10"/>
    <mergeCell ref="C11:F11"/>
    <mergeCell ref="K11:K18"/>
    <mergeCell ref="L11:O11"/>
    <mergeCell ref="C12:F12"/>
    <mergeCell ref="L12:O12"/>
    <mergeCell ref="C14:F14"/>
    <mergeCell ref="C17:F17"/>
    <mergeCell ref="C18:F18"/>
    <mergeCell ref="L18:O18"/>
    <mergeCell ref="L14:O14"/>
    <mergeCell ref="C15:F15"/>
    <mergeCell ref="L15:O15"/>
    <mergeCell ref="C16:F16"/>
    <mergeCell ref="L16:O16"/>
    <mergeCell ref="C19:F19"/>
    <mergeCell ref="L19:O19"/>
    <mergeCell ref="C20:F20"/>
    <mergeCell ref="S43:U43"/>
    <mergeCell ref="C7:F7"/>
    <mergeCell ref="L7:O7"/>
    <mergeCell ref="C8:F8"/>
    <mergeCell ref="L20:O20"/>
    <mergeCell ref="C21:F21"/>
    <mergeCell ref="K21:K27"/>
    <mergeCell ref="L35:O35"/>
    <mergeCell ref="P35:Q35"/>
    <mergeCell ref="L25:O25"/>
    <mergeCell ref="L26:O26"/>
    <mergeCell ref="L27:O27"/>
    <mergeCell ref="L31:O31"/>
    <mergeCell ref="R1:S1"/>
    <mergeCell ref="L3:M3"/>
    <mergeCell ref="L23:O23"/>
    <mergeCell ref="B5:B10"/>
    <mergeCell ref="C5:F5"/>
    <mergeCell ref="K5:K10"/>
    <mergeCell ref="L5:O5"/>
    <mergeCell ref="C6:F6"/>
    <mergeCell ref="L6:O6"/>
    <mergeCell ref="B11:B18"/>
    <mergeCell ref="B19:B23"/>
    <mergeCell ref="L4:M4"/>
    <mergeCell ref="L17:O17"/>
    <mergeCell ref="C3:D3"/>
    <mergeCell ref="P3:R3"/>
    <mergeCell ref="G3:I3"/>
  </mergeCells>
  <dataValidations count="3">
    <dataValidation type="list" allowBlank="1" showInputMessage="1" showErrorMessage="1" sqref="L4 P4:R4">
      <formula1>$AD$24:$AD$40</formula1>
    </dataValidation>
    <dataValidation type="list" allowBlank="1" showInputMessage="1" showErrorMessage="1" sqref="AD2:AD16 AX2:AX16">
      <formula1>$AD$2:$AD$16</formula1>
    </dataValidation>
    <dataValidation type="list" allowBlank="1" showInputMessage="1" showErrorMessage="1" sqref="B4 G4:I4">
      <formula1>$AD$2:$AD$21</formula1>
    </dataValidation>
  </dataValidations>
  <pageMargins left="0.23622047244094491" right="0.23622047244094491" top="0.35433070866141736" bottom="0.35433070866141736" header="0" footer="0"/>
  <pageSetup paperSize="5" fitToHeight="0" orientation="landscape" horizontalDpi="4294967294" r:id="rId1"/>
  <ignoredErrors>
    <ignoredError sqref="Q6:Q12 Q14:Q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75"/>
  <sheetViews>
    <sheetView zoomScale="80" zoomScaleNormal="80" workbookViewId="0">
      <pane ySplit="2" topLeftCell="A3" activePane="bottomLeft" state="frozen"/>
      <selection activeCell="O47" sqref="O47"/>
      <selection pane="bottomLeft" activeCell="I1" sqref="I1"/>
    </sheetView>
  </sheetViews>
  <sheetFormatPr defaultRowHeight="12.75" x14ac:dyDescent="0.2"/>
  <cols>
    <col min="1" max="1" width="8.7109375" bestFit="1" customWidth="1"/>
    <col min="2" max="2" width="16.42578125" customWidth="1"/>
    <col min="3" max="3" width="9.42578125" bestFit="1" customWidth="1"/>
    <col min="4" max="4" width="5.140625" bestFit="1" customWidth="1"/>
    <col min="5" max="5" width="10" bestFit="1" customWidth="1"/>
    <col min="6" max="6" width="7.85546875" bestFit="1" customWidth="1"/>
    <col min="7" max="7" width="14.28515625" bestFit="1" customWidth="1"/>
    <col min="8" max="8" width="7.28515625" customWidth="1"/>
    <col min="9" max="9" width="10.28515625" bestFit="1" customWidth="1"/>
    <col min="10" max="10" width="10" bestFit="1" customWidth="1"/>
    <col min="11" max="11" width="10.7109375" bestFit="1" customWidth="1"/>
    <col min="12" max="12" width="15" bestFit="1" customWidth="1"/>
    <col min="13" max="13" width="12.7109375" bestFit="1" customWidth="1"/>
    <col min="14" max="14" width="10.85546875" bestFit="1" customWidth="1"/>
    <col min="15" max="15" width="11.42578125" bestFit="1" customWidth="1"/>
    <col min="16" max="16" width="20.85546875" customWidth="1"/>
    <col min="17" max="17" width="16.85546875" customWidth="1"/>
    <col min="18" max="18" width="6" customWidth="1"/>
    <col min="20" max="20" width="6.7109375" customWidth="1"/>
    <col min="21" max="21" width="9.140625" customWidth="1"/>
    <col min="22" max="22" width="19.85546875" customWidth="1"/>
    <col min="23" max="23" width="11.7109375" customWidth="1"/>
    <col min="24" max="24" width="15.5703125" customWidth="1"/>
    <col min="25" max="25" width="11.85546875" customWidth="1"/>
    <col min="26" max="26" width="19.42578125" customWidth="1"/>
    <col min="27" max="27" width="20.28515625" customWidth="1"/>
    <col min="28" max="28" width="15" customWidth="1"/>
    <col min="29" max="29" width="16.28515625" customWidth="1"/>
    <col min="30" max="30" width="10.140625" customWidth="1"/>
    <col min="31" max="31" width="12.7109375" customWidth="1"/>
    <col min="32" max="32" width="18.140625" customWidth="1"/>
    <col min="33" max="33" width="12.7109375" customWidth="1"/>
    <col min="34" max="34" width="13.7109375" customWidth="1"/>
    <col min="35" max="35" width="14.140625" customWidth="1"/>
    <col min="36" max="36" width="12" customWidth="1"/>
    <col min="37" max="37" width="10" customWidth="1"/>
    <col min="38" max="38" width="12.85546875" customWidth="1"/>
    <col min="39" max="40" width="12.7109375" customWidth="1"/>
    <col min="41" max="41" width="13" customWidth="1"/>
    <col min="42" max="42" width="22.7109375" customWidth="1"/>
    <col min="43" max="43" width="9.140625" customWidth="1"/>
    <col min="44" max="44" width="19.85546875" customWidth="1"/>
    <col min="45" max="45" width="19.7109375" customWidth="1"/>
    <col min="46" max="46" width="15.28515625" customWidth="1"/>
    <col min="47" max="47" width="13.42578125" customWidth="1"/>
    <col min="48" max="48" width="12.28515625" customWidth="1"/>
    <col min="49" max="49" width="17.140625" customWidth="1"/>
    <col min="50" max="50" width="16.28515625" customWidth="1"/>
    <col min="51" max="51" width="17.85546875" customWidth="1"/>
    <col min="52" max="52" width="9" customWidth="1"/>
    <col min="53" max="53" width="12.5703125" customWidth="1"/>
    <col min="54" max="54" width="8.7109375" customWidth="1"/>
    <col min="55" max="55" width="12.85546875" customWidth="1"/>
    <col min="56" max="57" width="9.140625" customWidth="1"/>
  </cols>
  <sheetData>
    <row r="1" spans="1:58" s="868" customFormat="1" ht="39.75" customHeight="1" x14ac:dyDescent="0.2">
      <c r="A1" s="1091" t="s">
        <v>1046</v>
      </c>
      <c r="B1" s="1091"/>
      <c r="C1" s="1091"/>
      <c r="D1" s="1091"/>
      <c r="E1" s="1091"/>
      <c r="F1" s="1091"/>
    </row>
    <row r="2" spans="1:58" s="159" customFormat="1" ht="41.25" customHeight="1" x14ac:dyDescent="0.2">
      <c r="A2" s="854" t="s">
        <v>402</v>
      </c>
      <c r="B2" s="854" t="s">
        <v>403</v>
      </c>
      <c r="C2" s="854" t="s">
        <v>404</v>
      </c>
      <c r="D2" s="854" t="s">
        <v>405</v>
      </c>
      <c r="E2" s="854" t="s">
        <v>406</v>
      </c>
      <c r="F2" s="854" t="s">
        <v>407</v>
      </c>
      <c r="G2" s="854" t="s">
        <v>408</v>
      </c>
      <c r="H2" s="854" t="s">
        <v>409</v>
      </c>
      <c r="I2" s="854" t="s">
        <v>410</v>
      </c>
      <c r="J2" s="854" t="s">
        <v>410</v>
      </c>
      <c r="K2" s="854" t="s">
        <v>411</v>
      </c>
      <c r="L2" s="854" t="s">
        <v>412</v>
      </c>
      <c r="M2" s="854" t="s">
        <v>413</v>
      </c>
      <c r="N2" s="854" t="s">
        <v>414</v>
      </c>
      <c r="O2" s="855" t="s">
        <v>1028</v>
      </c>
      <c r="P2" s="834" t="s">
        <v>415</v>
      </c>
      <c r="Q2" s="1096" t="s">
        <v>416</v>
      </c>
      <c r="R2" s="1097"/>
      <c r="S2" s="854" t="s">
        <v>402</v>
      </c>
      <c r="AC2" s="811"/>
      <c r="AD2" s="812"/>
      <c r="AE2" s="812"/>
      <c r="AF2" s="812"/>
      <c r="AG2" s="812"/>
      <c r="AH2" s="812"/>
      <c r="AI2" s="812"/>
      <c r="AJ2" s="812"/>
      <c r="AK2" s="812"/>
      <c r="AL2" s="812"/>
      <c r="AM2" s="812"/>
      <c r="AN2" s="812"/>
      <c r="AO2" s="812"/>
      <c r="AP2" s="812"/>
      <c r="AQ2" s="812"/>
      <c r="AR2" s="812"/>
      <c r="AS2" s="812"/>
      <c r="AT2" s="812"/>
      <c r="AU2" s="812"/>
      <c r="AV2" s="812"/>
      <c r="AW2" s="813"/>
      <c r="AX2" s="813"/>
      <c r="AY2" s="813"/>
      <c r="AZ2" s="813"/>
      <c r="BA2" s="813"/>
      <c r="BB2" s="813"/>
      <c r="BC2" s="813"/>
      <c r="BD2" s="813"/>
      <c r="BE2" s="813"/>
      <c r="BF2" s="813"/>
    </row>
    <row r="3" spans="1:58" ht="18" customHeight="1" x14ac:dyDescent="0.2">
      <c r="A3" s="835">
        <v>43</v>
      </c>
      <c r="B3" s="836" t="s">
        <v>404</v>
      </c>
      <c r="C3" s="837" t="s">
        <v>417</v>
      </c>
      <c r="D3" s="836"/>
      <c r="E3" s="836"/>
      <c r="F3" s="836"/>
      <c r="G3" s="836"/>
      <c r="H3" s="836"/>
      <c r="I3" s="836" t="s">
        <v>418</v>
      </c>
      <c r="J3" s="838" t="s">
        <v>419</v>
      </c>
      <c r="K3" s="836" t="s">
        <v>420</v>
      </c>
      <c r="L3" s="836" t="s">
        <v>404</v>
      </c>
      <c r="M3" s="839">
        <v>0.18</v>
      </c>
      <c r="N3" s="836" t="s">
        <v>166</v>
      </c>
      <c r="O3" s="840" t="s">
        <v>421</v>
      </c>
      <c r="P3" s="841"/>
      <c r="Q3" s="842" t="s">
        <v>422</v>
      </c>
      <c r="R3" s="843" t="s">
        <v>423</v>
      </c>
      <c r="S3" s="835">
        <v>43</v>
      </c>
      <c r="AB3" s="479"/>
      <c r="AC3" s="814"/>
      <c r="AD3" s="244"/>
      <c r="AE3" s="244"/>
      <c r="AF3" s="244"/>
      <c r="AG3" s="35"/>
      <c r="AH3" s="35"/>
      <c r="AI3" s="244"/>
      <c r="AJ3" s="244"/>
      <c r="AK3" s="35"/>
      <c r="AL3" s="35"/>
      <c r="AM3" s="35"/>
      <c r="AN3" s="244"/>
      <c r="AO3" s="35"/>
      <c r="AP3" s="244"/>
      <c r="AQ3" s="244"/>
      <c r="AR3" s="244"/>
      <c r="AS3" s="35"/>
      <c r="AT3" s="35"/>
      <c r="AU3" s="244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</row>
    <row r="4" spans="1:58" ht="18" customHeight="1" x14ac:dyDescent="0.2">
      <c r="A4" s="199">
        <v>3001</v>
      </c>
      <c r="B4" s="844" t="s">
        <v>405</v>
      </c>
      <c r="C4" s="844"/>
      <c r="D4" s="845" t="s">
        <v>417</v>
      </c>
      <c r="E4" s="844"/>
      <c r="F4" s="844"/>
      <c r="G4" s="844"/>
      <c r="H4" s="844"/>
      <c r="I4" s="844" t="s">
        <v>424</v>
      </c>
      <c r="J4" s="846" t="s">
        <v>425</v>
      </c>
      <c r="K4" s="844" t="s">
        <v>311</v>
      </c>
      <c r="L4" s="844" t="s">
        <v>426</v>
      </c>
      <c r="M4" s="847">
        <v>0.15</v>
      </c>
      <c r="N4" s="844" t="s">
        <v>170</v>
      </c>
      <c r="O4" s="848"/>
      <c r="P4" s="849"/>
      <c r="Q4" s="850" t="s">
        <v>427</v>
      </c>
      <c r="R4" s="851"/>
      <c r="S4" s="199">
        <v>3001</v>
      </c>
      <c r="AB4" s="479"/>
      <c r="AC4" s="814"/>
      <c r="AD4" s="244"/>
      <c r="AE4" s="244"/>
      <c r="AF4" s="244"/>
      <c r="AG4" s="35"/>
      <c r="AH4" s="35"/>
      <c r="AI4" s="244"/>
      <c r="AJ4" s="244"/>
      <c r="AK4" s="35"/>
      <c r="AL4" s="35"/>
      <c r="AM4" s="35"/>
      <c r="AN4" s="244"/>
      <c r="AO4" s="35"/>
      <c r="AP4" s="35"/>
      <c r="AQ4" s="35"/>
      <c r="AR4" s="244"/>
      <c r="AS4" s="35"/>
      <c r="AT4" s="35"/>
      <c r="AU4" s="35"/>
      <c r="AV4" s="244"/>
      <c r="AW4" s="35"/>
      <c r="AX4" s="35"/>
      <c r="AY4" s="35"/>
      <c r="AZ4" s="35"/>
      <c r="BA4" s="35"/>
      <c r="BB4" s="35"/>
      <c r="BC4" s="35"/>
      <c r="BD4" s="35"/>
      <c r="BE4" s="35"/>
      <c r="BF4" s="35"/>
    </row>
    <row r="5" spans="1:58" ht="18" customHeight="1" x14ac:dyDescent="0.2">
      <c r="A5" s="199"/>
      <c r="B5" s="844"/>
      <c r="C5" s="844"/>
      <c r="D5" s="845"/>
      <c r="E5" s="844"/>
      <c r="F5" s="844"/>
      <c r="G5" s="844"/>
      <c r="H5" s="844"/>
      <c r="I5" s="844"/>
      <c r="J5" s="846"/>
      <c r="K5" s="844"/>
      <c r="L5" s="844"/>
      <c r="M5" s="847"/>
      <c r="N5" s="844"/>
      <c r="O5" s="848"/>
      <c r="P5" s="849"/>
      <c r="Q5" s="850"/>
      <c r="R5" s="851"/>
      <c r="S5" s="199"/>
      <c r="AB5" s="479"/>
      <c r="AC5" s="814"/>
      <c r="AD5" s="244"/>
      <c r="AE5" s="244"/>
      <c r="AF5" s="244"/>
      <c r="AG5" s="35"/>
      <c r="AH5" s="35"/>
      <c r="AI5" s="244"/>
      <c r="AJ5" s="244"/>
      <c r="AK5" s="35"/>
      <c r="AL5" s="35"/>
      <c r="AM5" s="35"/>
      <c r="AN5" s="35"/>
      <c r="AO5" s="35"/>
      <c r="AP5" s="244"/>
      <c r="AQ5" s="35"/>
      <c r="AR5" s="244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</row>
    <row r="6" spans="1:58" ht="18" customHeight="1" x14ac:dyDescent="0.2">
      <c r="A6" s="835">
        <v>4600</v>
      </c>
      <c r="B6" s="836" t="s">
        <v>407</v>
      </c>
      <c r="C6" s="837"/>
      <c r="D6" s="836" t="s">
        <v>417</v>
      </c>
      <c r="E6" s="836" t="s">
        <v>417</v>
      </c>
      <c r="F6" s="836" t="s">
        <v>417</v>
      </c>
      <c r="G6" s="836"/>
      <c r="H6" s="836"/>
      <c r="I6" s="836" t="s">
        <v>428</v>
      </c>
      <c r="J6" s="838" t="s">
        <v>429</v>
      </c>
      <c r="K6" s="836" t="s">
        <v>311</v>
      </c>
      <c r="L6" s="836" t="s">
        <v>430</v>
      </c>
      <c r="M6" s="839">
        <v>0.15</v>
      </c>
      <c r="N6" s="836" t="s">
        <v>166</v>
      </c>
      <c r="O6" s="840"/>
      <c r="P6" s="841"/>
      <c r="Q6" s="842" t="s">
        <v>422</v>
      </c>
      <c r="R6" s="843" t="s">
        <v>431</v>
      </c>
      <c r="S6" s="835">
        <v>4600</v>
      </c>
      <c r="AB6" s="479"/>
      <c r="AC6" s="814"/>
      <c r="AD6" s="244"/>
      <c r="AE6" s="244"/>
      <c r="AF6" s="244"/>
      <c r="AG6" s="35"/>
      <c r="AH6" s="35"/>
      <c r="AI6" s="244"/>
      <c r="AJ6" s="244"/>
      <c r="AK6" s="35"/>
      <c r="AL6" s="244"/>
      <c r="AM6" s="35"/>
      <c r="AN6" s="244"/>
      <c r="AO6" s="35"/>
      <c r="AP6" s="244"/>
      <c r="AQ6" s="244"/>
      <c r="AR6" s="244"/>
      <c r="AS6" s="35"/>
      <c r="AT6" s="35"/>
      <c r="AU6" s="244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</row>
    <row r="7" spans="1:58" ht="18" customHeight="1" x14ac:dyDescent="0.2">
      <c r="A7" s="199" t="s">
        <v>186</v>
      </c>
      <c r="B7" s="844" t="s">
        <v>432</v>
      </c>
      <c r="C7" s="844"/>
      <c r="D7" s="845" t="s">
        <v>417</v>
      </c>
      <c r="E7" s="844"/>
      <c r="F7" s="844" t="s">
        <v>417</v>
      </c>
      <c r="G7" s="844"/>
      <c r="H7" s="844"/>
      <c r="I7" s="844" t="s">
        <v>433</v>
      </c>
      <c r="J7" s="846" t="s">
        <v>434</v>
      </c>
      <c r="K7" s="844" t="s">
        <v>311</v>
      </c>
      <c r="L7" s="844" t="s">
        <v>430</v>
      </c>
      <c r="M7" s="847">
        <v>0.14000000000000001</v>
      </c>
      <c r="N7" s="844" t="s">
        <v>170</v>
      </c>
      <c r="O7" s="848"/>
      <c r="P7" s="849" t="s">
        <v>435</v>
      </c>
      <c r="Q7" s="852" t="s">
        <v>427</v>
      </c>
      <c r="R7" s="851"/>
      <c r="S7" s="199" t="s">
        <v>186</v>
      </c>
      <c r="AB7" s="479"/>
      <c r="AC7" s="814"/>
      <c r="AD7" s="244"/>
      <c r="AE7" s="244"/>
      <c r="AF7" s="244"/>
      <c r="AG7" s="244"/>
      <c r="AH7" s="35"/>
      <c r="AI7" s="244"/>
      <c r="AJ7" s="35"/>
      <c r="AK7" s="35"/>
      <c r="AL7" s="35"/>
      <c r="AM7" s="35"/>
      <c r="AN7" s="35"/>
      <c r="AO7" s="35"/>
      <c r="AP7" s="35"/>
      <c r="AQ7" s="244"/>
      <c r="AR7" s="35"/>
      <c r="AS7" s="244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</row>
    <row r="8" spans="1:58" ht="18" customHeight="1" x14ac:dyDescent="0.2">
      <c r="A8" s="835" t="s">
        <v>81</v>
      </c>
      <c r="B8" s="836" t="s">
        <v>407</v>
      </c>
      <c r="C8" s="837"/>
      <c r="D8" s="836"/>
      <c r="E8" s="836"/>
      <c r="F8" s="836" t="s">
        <v>417</v>
      </c>
      <c r="G8" s="836"/>
      <c r="H8" s="836"/>
      <c r="I8" s="836" t="s">
        <v>436</v>
      </c>
      <c r="J8" s="836" t="s">
        <v>437</v>
      </c>
      <c r="K8" s="836" t="s">
        <v>311</v>
      </c>
      <c r="L8" s="836" t="s">
        <v>426</v>
      </c>
      <c r="M8" s="856">
        <v>0.14000000000000001</v>
      </c>
      <c r="N8" s="836" t="s">
        <v>166</v>
      </c>
      <c r="O8" s="840" t="s">
        <v>421</v>
      </c>
      <c r="P8" s="857" t="s">
        <v>438</v>
      </c>
      <c r="Q8" s="840" t="s">
        <v>439</v>
      </c>
      <c r="R8" s="858" t="s">
        <v>440</v>
      </c>
      <c r="S8" s="835" t="s">
        <v>81</v>
      </c>
      <c r="T8" s="448"/>
      <c r="U8" s="742"/>
      <c r="V8" s="742"/>
      <c r="W8" s="742"/>
      <c r="X8" s="742"/>
      <c r="Y8" s="742"/>
      <c r="Z8" s="742"/>
      <c r="AA8" s="742"/>
      <c r="AB8" s="479"/>
      <c r="AC8" s="814"/>
      <c r="AD8" s="244"/>
      <c r="AE8" s="244"/>
      <c r="AF8" s="244"/>
      <c r="AG8" s="35"/>
      <c r="AH8" s="35"/>
      <c r="AI8" s="244"/>
      <c r="AJ8" s="35"/>
      <c r="AK8" s="35"/>
      <c r="AL8" s="35"/>
      <c r="AM8" s="35"/>
      <c r="AN8" s="35"/>
      <c r="AO8" s="35"/>
      <c r="AP8" s="35"/>
      <c r="AQ8" s="244"/>
      <c r="AR8" s="35"/>
      <c r="AS8" s="244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</row>
    <row r="9" spans="1:58" ht="18" customHeight="1" x14ac:dyDescent="0.2">
      <c r="A9" s="199" t="s">
        <v>191</v>
      </c>
      <c r="B9" s="844" t="s">
        <v>405</v>
      </c>
      <c r="C9" s="844"/>
      <c r="D9" s="845" t="s">
        <v>417</v>
      </c>
      <c r="E9" s="844"/>
      <c r="F9" s="844"/>
      <c r="G9" s="844"/>
      <c r="H9" s="844" t="s">
        <v>417</v>
      </c>
      <c r="I9" s="844" t="s">
        <v>441</v>
      </c>
      <c r="J9" s="844" t="s">
        <v>442</v>
      </c>
      <c r="K9" s="844" t="s">
        <v>443</v>
      </c>
      <c r="L9" s="844" t="s">
        <v>426</v>
      </c>
      <c r="M9" s="859">
        <v>0.16</v>
      </c>
      <c r="N9" s="844" t="s">
        <v>170</v>
      </c>
      <c r="O9" s="848" t="s">
        <v>166</v>
      </c>
      <c r="P9" s="860" t="s">
        <v>444</v>
      </c>
      <c r="Q9" s="852" t="s">
        <v>439</v>
      </c>
      <c r="R9" s="861" t="s">
        <v>440</v>
      </c>
      <c r="S9" s="199" t="s">
        <v>191</v>
      </c>
      <c r="AB9" s="479"/>
      <c r="AC9" s="814"/>
      <c r="AD9" s="244"/>
      <c r="AE9" s="244"/>
      <c r="AF9" s="244"/>
      <c r="AG9" s="244"/>
      <c r="AH9" s="35"/>
      <c r="AI9" s="244"/>
      <c r="AJ9" s="244"/>
      <c r="AK9" s="35"/>
      <c r="AL9" s="35"/>
      <c r="AM9" s="35"/>
      <c r="AN9" s="244"/>
      <c r="AO9" s="244"/>
      <c r="AP9" s="35"/>
      <c r="AQ9" s="244"/>
      <c r="AR9" s="35"/>
      <c r="AS9" s="244"/>
      <c r="AT9" s="35"/>
      <c r="AU9" s="244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</row>
    <row r="10" spans="1:58" ht="18" customHeight="1" x14ac:dyDescent="0.2">
      <c r="A10" s="835" t="s">
        <v>196</v>
      </c>
      <c r="B10" s="836" t="s">
        <v>445</v>
      </c>
      <c r="C10" s="837"/>
      <c r="D10" s="836" t="s">
        <v>417</v>
      </c>
      <c r="E10" s="836" t="s">
        <v>417</v>
      </c>
      <c r="F10" s="836" t="s">
        <v>417</v>
      </c>
      <c r="G10" s="836"/>
      <c r="H10" s="836"/>
      <c r="I10" s="836" t="s">
        <v>446</v>
      </c>
      <c r="J10" s="836" t="s">
        <v>447</v>
      </c>
      <c r="K10" s="836" t="s">
        <v>311</v>
      </c>
      <c r="L10" s="836" t="s">
        <v>426</v>
      </c>
      <c r="M10" s="856">
        <v>0.16</v>
      </c>
      <c r="N10" s="836" t="s">
        <v>171</v>
      </c>
      <c r="O10" s="840" t="s">
        <v>166</v>
      </c>
      <c r="P10" s="857"/>
      <c r="Q10" s="840" t="s">
        <v>448</v>
      </c>
      <c r="R10" s="858" t="s">
        <v>449</v>
      </c>
      <c r="S10" s="835" t="s">
        <v>196</v>
      </c>
      <c r="AB10" s="479"/>
      <c r="AC10" s="814"/>
      <c r="AD10" s="244"/>
      <c r="AE10" s="244"/>
      <c r="AF10" s="244"/>
      <c r="AG10" s="35"/>
      <c r="AH10" s="35"/>
      <c r="AI10" s="244"/>
      <c r="AJ10" s="35"/>
      <c r="AK10" s="35"/>
      <c r="AL10" s="35"/>
      <c r="AM10" s="35"/>
      <c r="AN10" s="35"/>
      <c r="AO10" s="35"/>
      <c r="AP10" s="35"/>
      <c r="AQ10" s="35"/>
      <c r="AR10" s="35"/>
      <c r="AS10" s="244"/>
      <c r="AT10" s="244"/>
      <c r="AU10" s="244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</row>
    <row r="11" spans="1:58" ht="18" customHeight="1" x14ac:dyDescent="0.2">
      <c r="A11" s="199" t="s">
        <v>198</v>
      </c>
      <c r="B11" s="844" t="s">
        <v>450</v>
      </c>
      <c r="C11" s="844"/>
      <c r="D11" s="845" t="s">
        <v>417</v>
      </c>
      <c r="E11" s="844"/>
      <c r="F11" s="844"/>
      <c r="G11" s="844" t="s">
        <v>417</v>
      </c>
      <c r="H11" s="844" t="s">
        <v>451</v>
      </c>
      <c r="I11" s="844" t="s">
        <v>452</v>
      </c>
      <c r="J11" s="844" t="s">
        <v>453</v>
      </c>
      <c r="K11" s="844" t="s">
        <v>311</v>
      </c>
      <c r="L11" s="844" t="s">
        <v>426</v>
      </c>
      <c r="M11" s="859">
        <v>0.16</v>
      </c>
      <c r="N11" s="844" t="s">
        <v>170</v>
      </c>
      <c r="O11" s="848" t="s">
        <v>166</v>
      </c>
      <c r="P11" s="860"/>
      <c r="Q11" s="852" t="s">
        <v>427</v>
      </c>
      <c r="R11" s="861" t="s">
        <v>431</v>
      </c>
      <c r="S11" s="199" t="s">
        <v>198</v>
      </c>
      <c r="AB11" s="479"/>
      <c r="AC11" s="633"/>
      <c r="AD11" s="244"/>
      <c r="AE11" s="244"/>
      <c r="AF11" s="244"/>
      <c r="AG11" s="35"/>
      <c r="AH11" s="35"/>
      <c r="AI11" s="244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</row>
    <row r="12" spans="1:58" ht="18" customHeight="1" x14ac:dyDescent="0.2">
      <c r="A12" s="835" t="s">
        <v>201</v>
      </c>
      <c r="B12" s="836" t="s">
        <v>450</v>
      </c>
      <c r="C12" s="837"/>
      <c r="D12" s="836" t="s">
        <v>417</v>
      </c>
      <c r="E12" s="836"/>
      <c r="F12" s="836"/>
      <c r="G12" s="836" t="s">
        <v>417</v>
      </c>
      <c r="H12" s="836" t="s">
        <v>451</v>
      </c>
      <c r="I12" s="836" t="s">
        <v>454</v>
      </c>
      <c r="J12" s="836" t="s">
        <v>455</v>
      </c>
      <c r="K12" s="836" t="s">
        <v>311</v>
      </c>
      <c r="L12" s="836" t="s">
        <v>430</v>
      </c>
      <c r="M12" s="856">
        <v>0.16</v>
      </c>
      <c r="N12" s="836" t="s">
        <v>171</v>
      </c>
      <c r="O12" s="840" t="s">
        <v>166</v>
      </c>
      <c r="P12" s="857"/>
      <c r="Q12" s="840" t="s">
        <v>448</v>
      </c>
      <c r="R12" s="858" t="s">
        <v>449</v>
      </c>
      <c r="S12" s="835" t="s">
        <v>201</v>
      </c>
      <c r="AB12" s="479"/>
      <c r="AC12" s="814"/>
      <c r="AD12" s="244"/>
      <c r="AE12" s="244"/>
      <c r="AF12" s="244"/>
      <c r="AG12" s="244"/>
      <c r="AH12" s="35"/>
      <c r="AI12" s="244"/>
      <c r="AJ12" s="244"/>
      <c r="AK12" s="35"/>
      <c r="AL12" s="35"/>
      <c r="AM12" s="35"/>
      <c r="AN12" s="35"/>
      <c r="AO12" s="35"/>
      <c r="AP12" s="35"/>
      <c r="AQ12" s="244"/>
      <c r="AR12" s="244"/>
      <c r="AS12" s="244"/>
      <c r="AT12" s="35"/>
      <c r="AU12" s="244"/>
      <c r="AV12" s="244"/>
      <c r="AW12" s="35"/>
      <c r="AX12" s="35"/>
      <c r="AY12" s="35"/>
      <c r="AZ12" s="35"/>
      <c r="BA12" s="35"/>
      <c r="BB12" s="35"/>
      <c r="BC12" s="35"/>
      <c r="BD12" s="35"/>
      <c r="BE12" s="35"/>
      <c r="BF12" s="35"/>
    </row>
    <row r="13" spans="1:58" ht="18" customHeight="1" x14ac:dyDescent="0.2">
      <c r="A13" s="199" t="s">
        <v>208</v>
      </c>
      <c r="B13" s="844" t="s">
        <v>450</v>
      </c>
      <c r="C13" s="844"/>
      <c r="D13" s="845" t="s">
        <v>417</v>
      </c>
      <c r="E13" s="844" t="s">
        <v>417</v>
      </c>
      <c r="F13" s="844"/>
      <c r="G13" s="844" t="s">
        <v>417</v>
      </c>
      <c r="H13" s="844" t="s">
        <v>451</v>
      </c>
      <c r="I13" s="844" t="s">
        <v>456</v>
      </c>
      <c r="J13" s="844" t="s">
        <v>455</v>
      </c>
      <c r="K13" s="844" t="s">
        <v>311</v>
      </c>
      <c r="L13" s="844" t="s">
        <v>430</v>
      </c>
      <c r="M13" s="859">
        <v>0.16</v>
      </c>
      <c r="N13" s="844" t="s">
        <v>171</v>
      </c>
      <c r="O13" s="848" t="s">
        <v>166</v>
      </c>
      <c r="P13" s="860" t="s">
        <v>457</v>
      </c>
      <c r="Q13" s="852" t="s">
        <v>448</v>
      </c>
      <c r="R13" s="861" t="s">
        <v>449</v>
      </c>
      <c r="S13" s="199" t="s">
        <v>208</v>
      </c>
      <c r="AB13" s="479"/>
      <c r="AC13" s="814"/>
      <c r="AD13" s="244"/>
      <c r="AE13" s="244"/>
      <c r="AF13" s="244"/>
      <c r="AG13" s="244"/>
      <c r="AH13" s="35"/>
      <c r="AI13" s="244"/>
      <c r="AJ13" s="244"/>
      <c r="AK13" s="35"/>
      <c r="AL13" s="35"/>
      <c r="AM13" s="244"/>
      <c r="AN13" s="244"/>
      <c r="AO13" s="35"/>
      <c r="AP13" s="35"/>
      <c r="AQ13" s="244"/>
      <c r="AR13" s="244"/>
      <c r="AS13" s="244"/>
      <c r="AT13" s="35"/>
      <c r="AU13" s="244"/>
      <c r="AV13" s="244"/>
      <c r="AW13" s="35"/>
      <c r="AX13" s="35"/>
      <c r="AY13" s="35"/>
      <c r="AZ13" s="35"/>
      <c r="BA13" s="35"/>
      <c r="BB13" s="35"/>
      <c r="BC13" s="35"/>
      <c r="BD13" s="35"/>
      <c r="BE13" s="35"/>
      <c r="BF13" s="35"/>
    </row>
    <row r="14" spans="1:58" ht="18" customHeight="1" x14ac:dyDescent="0.2">
      <c r="A14" s="835" t="s">
        <v>212</v>
      </c>
      <c r="B14" s="836" t="s">
        <v>450</v>
      </c>
      <c r="C14" s="837"/>
      <c r="D14" s="836" t="s">
        <v>417</v>
      </c>
      <c r="E14" s="836"/>
      <c r="F14" s="836"/>
      <c r="G14" s="836" t="s">
        <v>417</v>
      </c>
      <c r="H14" s="836"/>
      <c r="I14" s="836" t="s">
        <v>458</v>
      </c>
      <c r="J14" s="836" t="s">
        <v>459</v>
      </c>
      <c r="K14" s="836" t="s">
        <v>420</v>
      </c>
      <c r="L14" s="836" t="s">
        <v>430</v>
      </c>
      <c r="M14" s="856">
        <v>0.17</v>
      </c>
      <c r="N14" s="836" t="s">
        <v>170</v>
      </c>
      <c r="O14" s="840" t="s">
        <v>166</v>
      </c>
      <c r="P14" s="857"/>
      <c r="Q14" s="840" t="s">
        <v>439</v>
      </c>
      <c r="R14" s="858"/>
      <c r="S14" s="835" t="s">
        <v>212</v>
      </c>
      <c r="AB14" s="186"/>
      <c r="AC14" s="814"/>
      <c r="AD14" s="244"/>
      <c r="AE14" s="244"/>
      <c r="AF14" s="244"/>
      <c r="AG14" s="244"/>
      <c r="AH14" s="35"/>
      <c r="AI14" s="244"/>
      <c r="AJ14" s="244"/>
      <c r="AK14" s="35"/>
      <c r="AL14" s="35"/>
      <c r="AM14" s="35"/>
      <c r="AN14" s="35"/>
      <c r="AO14" s="244"/>
      <c r="AP14" s="35"/>
      <c r="AQ14" s="244"/>
      <c r="AR14" s="35"/>
      <c r="AS14" s="35"/>
      <c r="AT14" s="35"/>
      <c r="AU14" s="244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</row>
    <row r="15" spans="1:58" ht="18" customHeight="1" x14ac:dyDescent="0.2">
      <c r="A15" s="199" t="s">
        <v>460</v>
      </c>
      <c r="B15" s="844" t="s">
        <v>450</v>
      </c>
      <c r="C15" s="844"/>
      <c r="D15" s="845" t="s">
        <v>417</v>
      </c>
      <c r="E15" s="844"/>
      <c r="F15" s="844"/>
      <c r="G15" s="844"/>
      <c r="H15" s="844" t="s">
        <v>417</v>
      </c>
      <c r="I15" s="844" t="s">
        <v>446</v>
      </c>
      <c r="J15" s="844" t="s">
        <v>461</v>
      </c>
      <c r="K15" s="844" t="s">
        <v>311</v>
      </c>
      <c r="L15" s="844" t="s">
        <v>426</v>
      </c>
      <c r="M15" s="859">
        <v>0.15</v>
      </c>
      <c r="N15" s="844" t="s">
        <v>171</v>
      </c>
      <c r="O15" s="848" t="s">
        <v>166</v>
      </c>
      <c r="P15" s="860"/>
      <c r="Q15" s="852" t="s">
        <v>422</v>
      </c>
      <c r="R15" s="861" t="s">
        <v>423</v>
      </c>
      <c r="S15" s="199" t="s">
        <v>460</v>
      </c>
      <c r="AB15" s="479"/>
      <c r="AC15" s="814"/>
      <c r="AD15" s="244"/>
      <c r="AE15" s="244"/>
      <c r="AF15" s="244"/>
      <c r="AG15" s="35"/>
      <c r="AH15" s="35"/>
      <c r="AI15" s="244"/>
      <c r="AJ15" s="244"/>
      <c r="AK15" s="35"/>
      <c r="AL15" s="35"/>
      <c r="AM15" s="35"/>
      <c r="AN15" s="244"/>
      <c r="AO15" s="35"/>
      <c r="AP15" s="35"/>
      <c r="AQ15" s="244"/>
      <c r="AR15" s="35"/>
      <c r="AS15" s="35"/>
      <c r="AT15" s="35"/>
      <c r="AU15" s="35"/>
      <c r="AV15" s="244"/>
      <c r="AW15" s="35"/>
      <c r="AX15" s="35"/>
      <c r="AY15" s="35"/>
      <c r="AZ15" s="35"/>
      <c r="BA15" s="35"/>
      <c r="BB15" s="35"/>
      <c r="BC15" s="35"/>
      <c r="BD15" s="35"/>
      <c r="BE15" s="35"/>
      <c r="BF15" s="35"/>
    </row>
    <row r="16" spans="1:58" ht="18" customHeight="1" x14ac:dyDescent="0.2">
      <c r="A16" s="835" t="s">
        <v>218</v>
      </c>
      <c r="B16" s="836" t="s">
        <v>450</v>
      </c>
      <c r="C16" s="837"/>
      <c r="D16" s="836" t="s">
        <v>417</v>
      </c>
      <c r="E16" s="836"/>
      <c r="F16" s="836"/>
      <c r="G16" s="836"/>
      <c r="H16" s="836"/>
      <c r="I16" s="836" t="s">
        <v>462</v>
      </c>
      <c r="J16" s="836" t="s">
        <v>463</v>
      </c>
      <c r="K16" s="836" t="s">
        <v>311</v>
      </c>
      <c r="L16" s="836" t="s">
        <v>430</v>
      </c>
      <c r="M16" s="856">
        <v>0.16</v>
      </c>
      <c r="N16" s="836" t="s">
        <v>170</v>
      </c>
      <c r="O16" s="840" t="s">
        <v>421</v>
      </c>
      <c r="P16" s="857"/>
      <c r="Q16" s="840" t="s">
        <v>427</v>
      </c>
      <c r="R16" s="858" t="s">
        <v>431</v>
      </c>
      <c r="S16" s="835" t="s">
        <v>218</v>
      </c>
      <c r="AB16" s="479"/>
      <c r="AC16" s="633"/>
      <c r="AD16" s="244"/>
      <c r="AE16" s="244"/>
      <c r="AF16" s="244"/>
      <c r="AG16" s="35"/>
      <c r="AH16" s="35"/>
      <c r="AI16" s="244"/>
      <c r="AJ16" s="244"/>
      <c r="AK16" s="35"/>
      <c r="AL16" s="35"/>
      <c r="AM16" s="35"/>
      <c r="AN16" s="244"/>
      <c r="AO16" s="35"/>
      <c r="AP16" s="35"/>
      <c r="AQ16" s="35"/>
      <c r="AR16" s="244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</row>
    <row r="17" spans="1:58" ht="18" customHeight="1" x14ac:dyDescent="0.2">
      <c r="A17" s="199" t="s">
        <v>221</v>
      </c>
      <c r="B17" s="844" t="s">
        <v>450</v>
      </c>
      <c r="C17" s="844"/>
      <c r="D17" s="845" t="s">
        <v>417</v>
      </c>
      <c r="E17" s="844" t="s">
        <v>417</v>
      </c>
      <c r="F17" s="844"/>
      <c r="G17" s="844"/>
      <c r="H17" s="844"/>
      <c r="I17" s="844" t="s">
        <v>458</v>
      </c>
      <c r="J17" s="844" t="s">
        <v>464</v>
      </c>
      <c r="K17" s="844" t="s">
        <v>311</v>
      </c>
      <c r="L17" s="844" t="s">
        <v>404</v>
      </c>
      <c r="M17" s="859">
        <v>0.16</v>
      </c>
      <c r="N17" s="844" t="s">
        <v>170</v>
      </c>
      <c r="O17" s="848" t="s">
        <v>166</v>
      </c>
      <c r="P17" s="860"/>
      <c r="Q17" s="852" t="s">
        <v>439</v>
      </c>
      <c r="R17" s="861" t="s">
        <v>440</v>
      </c>
      <c r="S17" s="199" t="s">
        <v>221</v>
      </c>
      <c r="AB17" s="479"/>
      <c r="AC17" s="633"/>
      <c r="AD17" s="244"/>
      <c r="AE17" s="244"/>
      <c r="AF17" s="244"/>
      <c r="AG17" s="35"/>
      <c r="AH17" s="35"/>
      <c r="AI17" s="244"/>
      <c r="AJ17" s="244"/>
      <c r="AK17" s="35"/>
      <c r="AL17" s="244"/>
      <c r="AM17" s="244"/>
      <c r="AN17" s="244"/>
      <c r="AO17" s="35"/>
      <c r="AP17" s="244"/>
      <c r="AQ17" s="35"/>
      <c r="AR17" s="244"/>
      <c r="AS17" s="244"/>
      <c r="AT17" s="244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</row>
    <row r="18" spans="1:58" ht="18" customHeight="1" x14ac:dyDescent="0.2">
      <c r="A18" s="835" t="s">
        <v>225</v>
      </c>
      <c r="B18" s="836" t="s">
        <v>405</v>
      </c>
      <c r="C18" s="837"/>
      <c r="D18" s="836" t="s">
        <v>417</v>
      </c>
      <c r="E18" s="836"/>
      <c r="F18" s="836"/>
      <c r="G18" s="836"/>
      <c r="H18" s="836"/>
      <c r="I18" s="836" t="s">
        <v>436</v>
      </c>
      <c r="J18" s="836" t="s">
        <v>465</v>
      </c>
      <c r="K18" s="836" t="s">
        <v>311</v>
      </c>
      <c r="L18" s="836" t="s">
        <v>430</v>
      </c>
      <c r="M18" s="856">
        <v>0.14000000000000001</v>
      </c>
      <c r="N18" s="836" t="s">
        <v>166</v>
      </c>
      <c r="O18" s="840" t="s">
        <v>166</v>
      </c>
      <c r="P18" s="857"/>
      <c r="Q18" s="840" t="s">
        <v>422</v>
      </c>
      <c r="R18" s="858" t="s">
        <v>423</v>
      </c>
      <c r="S18" s="835" t="s">
        <v>225</v>
      </c>
      <c r="AB18" s="479"/>
      <c r="AC18" s="814"/>
      <c r="AD18" s="244"/>
      <c r="AE18" s="244"/>
      <c r="AF18" s="244"/>
      <c r="AG18" s="35"/>
      <c r="AH18" s="35"/>
      <c r="AI18" s="244"/>
      <c r="AJ18" s="244"/>
      <c r="AK18" s="35"/>
      <c r="AL18" s="244"/>
      <c r="AM18" s="35"/>
      <c r="AN18" s="244"/>
      <c r="AO18" s="35"/>
      <c r="AP18" s="35"/>
      <c r="AQ18" s="35"/>
      <c r="AR18" s="244"/>
      <c r="AS18" s="35"/>
      <c r="AT18" s="244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</row>
    <row r="19" spans="1:58" ht="18" customHeight="1" x14ac:dyDescent="0.2">
      <c r="A19" s="199" t="s">
        <v>228</v>
      </c>
      <c r="B19" s="844" t="s">
        <v>450</v>
      </c>
      <c r="C19" s="844"/>
      <c r="D19" s="845" t="s">
        <v>417</v>
      </c>
      <c r="E19" s="844" t="s">
        <v>417</v>
      </c>
      <c r="F19" s="844"/>
      <c r="G19" s="844"/>
      <c r="H19" s="844"/>
      <c r="I19" s="844" t="s">
        <v>466</v>
      </c>
      <c r="J19" s="844" t="s">
        <v>467</v>
      </c>
      <c r="K19" s="844" t="s">
        <v>311</v>
      </c>
      <c r="L19" s="844" t="s">
        <v>430</v>
      </c>
      <c r="M19" s="859">
        <v>0.16</v>
      </c>
      <c r="N19" s="844" t="s">
        <v>171</v>
      </c>
      <c r="O19" s="848" t="s">
        <v>166</v>
      </c>
      <c r="P19" s="860"/>
      <c r="Q19" s="852" t="s">
        <v>427</v>
      </c>
      <c r="R19" s="861" t="s">
        <v>431</v>
      </c>
      <c r="S19" s="199" t="s">
        <v>228</v>
      </c>
      <c r="AB19" s="479"/>
      <c r="AC19" s="633"/>
      <c r="AD19" s="244"/>
      <c r="AE19" s="244"/>
      <c r="AF19" s="244"/>
      <c r="AG19" s="35"/>
      <c r="AH19" s="35"/>
      <c r="AI19" s="244"/>
      <c r="AJ19" s="244"/>
      <c r="AK19" s="35"/>
      <c r="AL19" s="244"/>
      <c r="AM19" s="35"/>
      <c r="AN19" s="244"/>
      <c r="AO19" s="35"/>
      <c r="AP19" s="35"/>
      <c r="AQ19" s="35"/>
      <c r="AR19" s="244"/>
      <c r="AS19" s="35"/>
      <c r="AT19" s="35"/>
      <c r="AU19" s="244"/>
      <c r="AV19" s="244"/>
      <c r="AW19" s="35"/>
      <c r="AX19" s="35"/>
      <c r="AY19" s="35"/>
      <c r="AZ19" s="35"/>
      <c r="BA19" s="35"/>
      <c r="BB19" s="35"/>
      <c r="BC19" s="35"/>
      <c r="BD19" s="35"/>
      <c r="BE19" s="35"/>
      <c r="BF19" s="35"/>
    </row>
    <row r="20" spans="1:58" ht="18" customHeight="1" x14ac:dyDescent="0.2">
      <c r="A20" s="835" t="s">
        <v>230</v>
      </c>
      <c r="B20" s="836" t="s">
        <v>404</v>
      </c>
      <c r="C20" s="837" t="s">
        <v>417</v>
      </c>
      <c r="D20" s="836"/>
      <c r="E20" s="836"/>
      <c r="F20" s="836"/>
      <c r="G20" s="836"/>
      <c r="H20" s="836"/>
      <c r="I20" s="836" t="s">
        <v>468</v>
      </c>
      <c r="J20" s="836" t="s">
        <v>469</v>
      </c>
      <c r="K20" s="836" t="s">
        <v>420</v>
      </c>
      <c r="L20" s="836" t="s">
        <v>430</v>
      </c>
      <c r="M20" s="856">
        <v>0.17</v>
      </c>
      <c r="N20" s="836" t="s">
        <v>166</v>
      </c>
      <c r="O20" s="840" t="s">
        <v>166</v>
      </c>
      <c r="P20" s="857"/>
      <c r="Q20" s="840" t="s">
        <v>422</v>
      </c>
      <c r="R20" s="858" t="s">
        <v>431</v>
      </c>
      <c r="S20" s="835" t="s">
        <v>230</v>
      </c>
      <c r="AB20" s="479"/>
      <c r="AC20" s="633"/>
      <c r="AD20" s="244"/>
      <c r="AE20" s="244"/>
      <c r="AF20" s="244"/>
      <c r="AG20" s="35"/>
      <c r="AH20" s="35"/>
      <c r="AI20" s="244"/>
      <c r="AJ20" s="35"/>
      <c r="AK20" s="35"/>
      <c r="AL20" s="244"/>
      <c r="AM20" s="244"/>
      <c r="AN20" s="35"/>
      <c r="AO20" s="35"/>
      <c r="AP20" s="35"/>
      <c r="AQ20" s="244"/>
      <c r="AR20" s="244"/>
      <c r="AS20" s="35"/>
      <c r="AT20" s="244"/>
      <c r="AU20" s="244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</row>
    <row r="21" spans="1:58" ht="18" customHeight="1" x14ac:dyDescent="0.2">
      <c r="A21" s="199" t="s">
        <v>470</v>
      </c>
      <c r="B21" s="844" t="s">
        <v>404</v>
      </c>
      <c r="C21" s="844" t="s">
        <v>417</v>
      </c>
      <c r="D21" s="845"/>
      <c r="E21" s="844"/>
      <c r="F21" s="844"/>
      <c r="G21" s="844"/>
      <c r="H21" s="844"/>
      <c r="I21" s="844" t="s">
        <v>471</v>
      </c>
      <c r="J21" s="844" t="s">
        <v>472</v>
      </c>
      <c r="K21" s="844" t="s">
        <v>420</v>
      </c>
      <c r="L21" s="844" t="s">
        <v>430</v>
      </c>
      <c r="M21" s="859">
        <v>0.18</v>
      </c>
      <c r="N21" s="844" t="s">
        <v>166</v>
      </c>
      <c r="O21" s="848" t="s">
        <v>421</v>
      </c>
      <c r="P21" s="860"/>
      <c r="Q21" s="852" t="s">
        <v>427</v>
      </c>
      <c r="R21" s="861" t="s">
        <v>431</v>
      </c>
      <c r="S21" s="199" t="s">
        <v>470</v>
      </c>
      <c r="AB21" s="479"/>
      <c r="AC21" s="814"/>
      <c r="AD21" s="244"/>
      <c r="AE21" s="244"/>
      <c r="AF21" s="244"/>
      <c r="AG21" s="35"/>
      <c r="AH21" s="35"/>
      <c r="AI21" s="244"/>
      <c r="AJ21" s="244"/>
      <c r="AK21" s="35"/>
      <c r="AL21" s="244"/>
      <c r="AM21" s="244"/>
      <c r="AN21" s="244"/>
      <c r="AO21" s="35"/>
      <c r="AP21" s="35"/>
      <c r="AQ21" s="35"/>
      <c r="AR21" s="244"/>
      <c r="AS21" s="35"/>
      <c r="AT21" s="244"/>
      <c r="AU21" s="35"/>
      <c r="AV21" s="244"/>
      <c r="AW21" s="35"/>
      <c r="AX21" s="35"/>
      <c r="AY21" s="35"/>
      <c r="AZ21" s="35"/>
      <c r="BA21" s="35"/>
      <c r="BB21" s="35"/>
      <c r="BC21" s="35"/>
      <c r="BD21" s="35"/>
      <c r="BE21" s="35"/>
      <c r="BF21" s="35"/>
    </row>
    <row r="22" spans="1:58" ht="18" customHeight="1" x14ac:dyDescent="0.2">
      <c r="A22" s="835" t="s">
        <v>236</v>
      </c>
      <c r="B22" s="836" t="s">
        <v>445</v>
      </c>
      <c r="C22" s="837"/>
      <c r="D22" s="836" t="s">
        <v>417</v>
      </c>
      <c r="E22" s="836"/>
      <c r="F22" s="836" t="s">
        <v>417</v>
      </c>
      <c r="G22" s="836"/>
      <c r="H22" s="836"/>
      <c r="I22" s="836" t="s">
        <v>436</v>
      </c>
      <c r="J22" s="836" t="s">
        <v>467</v>
      </c>
      <c r="K22" s="836" t="s">
        <v>311</v>
      </c>
      <c r="L22" s="836" t="s">
        <v>430</v>
      </c>
      <c r="M22" s="856">
        <v>0.15</v>
      </c>
      <c r="N22" s="836" t="s">
        <v>28</v>
      </c>
      <c r="O22" s="840" t="s">
        <v>166</v>
      </c>
      <c r="P22" s="857"/>
      <c r="Q22" s="840" t="s">
        <v>422</v>
      </c>
      <c r="R22" s="858"/>
      <c r="S22" s="835" t="s">
        <v>236</v>
      </c>
      <c r="AB22" s="479"/>
      <c r="AC22" s="814"/>
      <c r="AD22" s="244"/>
      <c r="AE22" s="244"/>
      <c r="AF22" s="244"/>
      <c r="AG22" s="35"/>
      <c r="AH22" s="35"/>
      <c r="AI22" s="244"/>
      <c r="AJ22" s="244"/>
      <c r="AK22" s="35"/>
      <c r="AL22" s="35"/>
      <c r="AM22" s="35"/>
      <c r="AN22" s="244"/>
      <c r="AO22" s="35"/>
      <c r="AP22" s="35"/>
      <c r="AQ22" s="244"/>
      <c r="AR22" s="244"/>
      <c r="AS22" s="35"/>
      <c r="AT22" s="35"/>
      <c r="AU22" s="244"/>
      <c r="AV22" s="244"/>
      <c r="AW22" s="35"/>
      <c r="AX22" s="35"/>
      <c r="AY22" s="35"/>
      <c r="AZ22" s="35"/>
      <c r="BA22" s="35"/>
      <c r="BB22" s="35"/>
      <c r="BC22" s="35"/>
      <c r="BD22" s="35"/>
      <c r="BE22" s="35"/>
      <c r="BF22" s="35"/>
    </row>
    <row r="23" spans="1:58" ht="18" customHeight="1" x14ac:dyDescent="0.2">
      <c r="A23" s="199" t="s">
        <v>240</v>
      </c>
      <c r="B23" s="844" t="s">
        <v>407</v>
      </c>
      <c r="C23" s="844"/>
      <c r="D23" s="845"/>
      <c r="E23" s="844"/>
      <c r="F23" s="844" t="s">
        <v>417</v>
      </c>
      <c r="G23" s="844"/>
      <c r="H23" s="844"/>
      <c r="I23" s="844" t="s">
        <v>468</v>
      </c>
      <c r="J23" s="844" t="s">
        <v>469</v>
      </c>
      <c r="K23" s="844" t="s">
        <v>420</v>
      </c>
      <c r="L23" s="844" t="s">
        <v>430</v>
      </c>
      <c r="M23" s="859">
        <v>0.18</v>
      </c>
      <c r="N23" s="844" t="s">
        <v>166</v>
      </c>
      <c r="O23" s="848"/>
      <c r="P23" s="860"/>
      <c r="Q23" s="852" t="s">
        <v>473</v>
      </c>
      <c r="R23" s="861">
        <v>1</v>
      </c>
      <c r="S23" s="199" t="s">
        <v>240</v>
      </c>
      <c r="AB23" s="479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</row>
    <row r="24" spans="1:58" ht="18" customHeight="1" x14ac:dyDescent="0.2">
      <c r="A24" s="835" t="s">
        <v>242</v>
      </c>
      <c r="B24" s="836" t="s">
        <v>474</v>
      </c>
      <c r="C24" s="837"/>
      <c r="D24" s="836" t="s">
        <v>417</v>
      </c>
      <c r="E24" s="836"/>
      <c r="F24" s="836"/>
      <c r="G24" s="836"/>
      <c r="H24" s="836" t="s">
        <v>417</v>
      </c>
      <c r="I24" s="836" t="s">
        <v>466</v>
      </c>
      <c r="J24" s="836" t="s">
        <v>467</v>
      </c>
      <c r="K24" s="836" t="s">
        <v>311</v>
      </c>
      <c r="L24" s="836" t="s">
        <v>430</v>
      </c>
      <c r="M24" s="856">
        <v>0.16</v>
      </c>
      <c r="N24" s="836" t="s">
        <v>170</v>
      </c>
      <c r="O24" s="840" t="s">
        <v>475</v>
      </c>
      <c r="P24" s="857"/>
      <c r="Q24" s="840" t="s">
        <v>448</v>
      </c>
      <c r="R24" s="858" t="s">
        <v>431</v>
      </c>
      <c r="S24" s="835" t="s">
        <v>242</v>
      </c>
      <c r="AB24" s="479"/>
      <c r="AC24" s="814"/>
      <c r="AD24" s="242"/>
      <c r="AE24" s="789"/>
      <c r="AF24" s="789"/>
      <c r="AG24" s="812"/>
      <c r="AH24" s="812"/>
      <c r="AI24" s="789"/>
      <c r="AJ24" s="812"/>
      <c r="AK24" s="242"/>
      <c r="AL24" s="242"/>
      <c r="AM24" s="812"/>
      <c r="AN24" s="812"/>
      <c r="AO24" s="812"/>
      <c r="AP24" s="789"/>
      <c r="AQ24" s="789"/>
      <c r="AR24" s="789"/>
      <c r="AS24" s="789"/>
      <c r="AT24" s="242"/>
      <c r="AU24" s="789"/>
      <c r="AV24" s="789"/>
      <c r="AW24" s="812"/>
      <c r="AX24" s="812"/>
      <c r="AY24" s="812"/>
      <c r="AZ24" s="35"/>
      <c r="BA24" s="35"/>
      <c r="BB24" s="35"/>
      <c r="BC24" s="35"/>
      <c r="BD24" s="35"/>
      <c r="BE24" s="35"/>
      <c r="BF24" s="35"/>
    </row>
    <row r="25" spans="1:58" ht="18" customHeight="1" x14ac:dyDescent="0.2">
      <c r="A25" s="199" t="s">
        <v>245</v>
      </c>
      <c r="B25" s="844" t="s">
        <v>450</v>
      </c>
      <c r="C25" s="844"/>
      <c r="D25" s="845" t="s">
        <v>417</v>
      </c>
      <c r="E25" s="844"/>
      <c r="F25" s="844"/>
      <c r="G25" s="844" t="s">
        <v>417</v>
      </c>
      <c r="H25" s="844"/>
      <c r="I25" s="844" t="s">
        <v>476</v>
      </c>
      <c r="J25" s="844" t="s">
        <v>463</v>
      </c>
      <c r="K25" s="844" t="s">
        <v>311</v>
      </c>
      <c r="L25" s="844" t="s">
        <v>430</v>
      </c>
      <c r="M25" s="859">
        <v>0.15</v>
      </c>
      <c r="N25" s="844" t="s">
        <v>170</v>
      </c>
      <c r="O25" s="848"/>
      <c r="P25" s="860"/>
      <c r="Q25" s="852" t="s">
        <v>427</v>
      </c>
      <c r="R25" s="861"/>
      <c r="S25" s="199" t="s">
        <v>245</v>
      </c>
      <c r="AB25" s="479"/>
      <c r="AC25" s="633"/>
      <c r="AD25" s="244"/>
      <c r="AE25" s="739"/>
      <c r="AF25" s="244"/>
      <c r="AG25" s="35"/>
      <c r="AH25" s="35"/>
      <c r="AI25" s="244"/>
      <c r="AJ25" s="35"/>
      <c r="AK25" s="35"/>
      <c r="AL25" s="35"/>
      <c r="AM25" s="35"/>
      <c r="AN25" s="244"/>
      <c r="AO25" s="35"/>
      <c r="AP25" s="35"/>
      <c r="AQ25" s="35"/>
      <c r="AR25" s="35"/>
      <c r="AS25" s="35"/>
      <c r="AT25" s="35"/>
      <c r="AU25" s="35"/>
      <c r="AV25" s="35"/>
      <c r="AW25" s="35"/>
      <c r="AX25" s="244"/>
      <c r="AY25" s="244"/>
      <c r="AZ25" s="633"/>
      <c r="BA25" s="35"/>
      <c r="BB25" s="35"/>
      <c r="BC25" s="35"/>
      <c r="BD25" s="35"/>
      <c r="BE25" s="35"/>
      <c r="BF25" s="35"/>
    </row>
    <row r="26" spans="1:58" ht="18" customHeight="1" x14ac:dyDescent="0.2">
      <c r="A26" s="835" t="s">
        <v>477</v>
      </c>
      <c r="B26" s="836" t="s">
        <v>478</v>
      </c>
      <c r="C26" s="837"/>
      <c r="D26" s="836" t="s">
        <v>417</v>
      </c>
      <c r="E26" s="836"/>
      <c r="F26" s="836"/>
      <c r="G26" s="836" t="s">
        <v>417</v>
      </c>
      <c r="H26" s="836" t="s">
        <v>417</v>
      </c>
      <c r="I26" s="836" t="s">
        <v>479</v>
      </c>
      <c r="J26" s="836" t="s">
        <v>480</v>
      </c>
      <c r="K26" s="836" t="s">
        <v>311</v>
      </c>
      <c r="L26" s="836" t="s">
        <v>430</v>
      </c>
      <c r="M26" s="856">
        <v>0.14000000000000001</v>
      </c>
      <c r="N26" s="836" t="s">
        <v>166</v>
      </c>
      <c r="O26" s="840" t="s">
        <v>166</v>
      </c>
      <c r="P26" s="857" t="s">
        <v>1029</v>
      </c>
      <c r="Q26" s="840" t="s">
        <v>473</v>
      </c>
      <c r="R26" s="858">
        <v>1</v>
      </c>
      <c r="S26" s="835" t="s">
        <v>477</v>
      </c>
      <c r="AB26" s="479"/>
      <c r="AC26" s="814"/>
      <c r="AD26" s="244"/>
      <c r="AE26" s="244"/>
      <c r="AF26" s="244"/>
      <c r="AG26" s="35"/>
      <c r="AH26" s="35"/>
      <c r="AI26" s="244"/>
      <c r="AJ26" s="35"/>
      <c r="AK26" s="35"/>
      <c r="AL26" s="35"/>
      <c r="AM26" s="35"/>
      <c r="AN26" s="244"/>
      <c r="AO26" s="35"/>
      <c r="AP26" s="35"/>
      <c r="AQ26" s="35"/>
      <c r="AR26" s="35"/>
      <c r="AS26" s="35"/>
      <c r="AT26" s="35"/>
      <c r="AU26" s="35"/>
      <c r="AV26" s="244"/>
      <c r="AW26" s="244"/>
      <c r="AX26" s="35"/>
      <c r="AY26" s="35"/>
      <c r="AZ26" s="814"/>
      <c r="BA26" s="35"/>
      <c r="BB26" s="35"/>
      <c r="BC26" s="35"/>
      <c r="BD26" s="35"/>
      <c r="BE26" s="35"/>
      <c r="BF26" s="35"/>
    </row>
    <row r="27" spans="1:58" ht="18" customHeight="1" x14ac:dyDescent="0.2">
      <c r="A27" s="199" t="s">
        <v>248</v>
      </c>
      <c r="B27" s="844" t="s">
        <v>405</v>
      </c>
      <c r="C27" s="844"/>
      <c r="D27" s="845" t="s">
        <v>417</v>
      </c>
      <c r="E27" s="844"/>
      <c r="F27" s="844"/>
      <c r="G27" s="844"/>
      <c r="H27" s="844"/>
      <c r="I27" s="844" t="s">
        <v>481</v>
      </c>
      <c r="J27" s="844" t="s">
        <v>463</v>
      </c>
      <c r="K27" s="844" t="s">
        <v>420</v>
      </c>
      <c r="L27" s="844" t="s">
        <v>430</v>
      </c>
      <c r="M27" s="859">
        <v>0.16</v>
      </c>
      <c r="N27" s="844" t="s">
        <v>166</v>
      </c>
      <c r="O27" s="848" t="s">
        <v>166</v>
      </c>
      <c r="P27" s="860"/>
      <c r="Q27" s="852" t="s">
        <v>439</v>
      </c>
      <c r="R27" s="861" t="s">
        <v>440</v>
      </c>
      <c r="S27" s="199" t="s">
        <v>248</v>
      </c>
      <c r="AB27" s="479"/>
      <c r="AC27" s="633"/>
      <c r="AD27" s="244"/>
      <c r="AE27" s="244"/>
      <c r="AF27" s="244"/>
      <c r="AG27" s="35"/>
      <c r="AH27" s="35"/>
      <c r="AI27" s="244"/>
      <c r="AJ27" s="35"/>
      <c r="AK27" s="35"/>
      <c r="AL27" s="35"/>
      <c r="AM27" s="35"/>
      <c r="AN27" s="244"/>
      <c r="AO27" s="35"/>
      <c r="AP27" s="244"/>
      <c r="AQ27" s="35"/>
      <c r="AR27" s="244"/>
      <c r="AS27" s="244"/>
      <c r="AT27" s="35"/>
      <c r="AU27" s="35"/>
      <c r="AV27" s="244"/>
      <c r="AW27" s="244"/>
      <c r="AX27" s="35"/>
      <c r="AY27" s="35"/>
      <c r="AZ27" s="633"/>
      <c r="BA27" s="35"/>
      <c r="BB27" s="35"/>
      <c r="BC27" s="35"/>
      <c r="BD27" s="35"/>
      <c r="BE27" s="35"/>
      <c r="BF27" s="35"/>
    </row>
    <row r="28" spans="1:58" ht="18" customHeight="1" x14ac:dyDescent="0.2">
      <c r="A28" s="835" t="s">
        <v>255</v>
      </c>
      <c r="B28" s="836" t="s">
        <v>478</v>
      </c>
      <c r="C28" s="837"/>
      <c r="D28" s="836" t="s">
        <v>417</v>
      </c>
      <c r="E28" s="836"/>
      <c r="F28" s="836" t="s">
        <v>417</v>
      </c>
      <c r="G28" s="836"/>
      <c r="H28" s="836"/>
      <c r="I28" s="836" t="s">
        <v>482</v>
      </c>
      <c r="J28" s="836" t="s">
        <v>483</v>
      </c>
      <c r="K28" s="836" t="s">
        <v>420</v>
      </c>
      <c r="L28" s="836" t="s">
        <v>430</v>
      </c>
      <c r="M28" s="856">
        <v>0.16</v>
      </c>
      <c r="N28" s="836" t="s">
        <v>171</v>
      </c>
      <c r="O28" s="840"/>
      <c r="P28" s="857" t="s">
        <v>484</v>
      </c>
      <c r="Q28" s="840" t="s">
        <v>422</v>
      </c>
      <c r="R28" s="858" t="s">
        <v>423</v>
      </c>
      <c r="S28" s="835" t="s">
        <v>255</v>
      </c>
      <c r="AB28" s="479"/>
      <c r="AC28" s="633"/>
      <c r="AD28" s="244"/>
      <c r="AE28" s="244"/>
      <c r="AF28" s="244"/>
      <c r="AG28" s="35"/>
      <c r="AH28" s="35"/>
      <c r="AI28" s="244"/>
      <c r="AJ28" s="35"/>
      <c r="AK28" s="35"/>
      <c r="AL28" s="35"/>
      <c r="AM28" s="35"/>
      <c r="AN28" s="244"/>
      <c r="AO28" s="35"/>
      <c r="AP28" s="244"/>
      <c r="AQ28" s="244"/>
      <c r="AR28" s="35"/>
      <c r="AS28" s="35"/>
      <c r="AT28" s="35"/>
      <c r="AU28" s="35"/>
      <c r="AV28" s="244"/>
      <c r="AW28" s="244"/>
      <c r="AX28" s="244"/>
      <c r="AY28" s="35"/>
      <c r="AZ28" s="633"/>
      <c r="BA28" s="35"/>
      <c r="BB28" s="35"/>
      <c r="BC28" s="35"/>
      <c r="BD28" s="35"/>
      <c r="BE28" s="35"/>
      <c r="BF28" s="35"/>
    </row>
    <row r="29" spans="1:58" ht="18" customHeight="1" x14ac:dyDescent="0.2">
      <c r="A29" s="199" t="s">
        <v>485</v>
      </c>
      <c r="B29" s="844" t="s">
        <v>311</v>
      </c>
      <c r="C29" s="844"/>
      <c r="D29" s="845"/>
      <c r="E29" s="844"/>
      <c r="F29" s="844"/>
      <c r="G29" s="844"/>
      <c r="H29" s="844"/>
      <c r="I29" s="844" t="s">
        <v>454</v>
      </c>
      <c r="J29" s="844" t="s">
        <v>486</v>
      </c>
      <c r="K29" s="836" t="s">
        <v>311</v>
      </c>
      <c r="L29" s="844" t="s">
        <v>430</v>
      </c>
      <c r="M29" s="859">
        <v>0.16</v>
      </c>
      <c r="N29" s="844" t="s">
        <v>170</v>
      </c>
      <c r="O29" s="848"/>
      <c r="P29" s="860"/>
      <c r="Q29" s="852" t="s">
        <v>422</v>
      </c>
      <c r="R29" s="861"/>
      <c r="S29" s="199" t="s">
        <v>485</v>
      </c>
      <c r="AB29" s="479"/>
      <c r="AC29" s="814"/>
      <c r="AD29" s="244"/>
      <c r="AE29" s="244"/>
      <c r="AF29" s="244"/>
      <c r="AG29" s="35"/>
      <c r="AH29" s="35"/>
      <c r="AI29" s="752"/>
      <c r="AJ29" s="35"/>
      <c r="AK29" s="35"/>
      <c r="AL29" s="35"/>
      <c r="AM29" s="35"/>
      <c r="AN29" s="35"/>
      <c r="AO29" s="244"/>
      <c r="AP29" s="35"/>
      <c r="AQ29" s="244"/>
      <c r="AR29" s="244"/>
      <c r="AS29" s="35"/>
      <c r="AT29" s="244"/>
      <c r="AU29" s="244"/>
      <c r="AV29" s="35"/>
      <c r="AW29" s="35"/>
      <c r="AX29" s="244"/>
      <c r="AY29" s="244"/>
      <c r="AZ29" s="814"/>
      <c r="BA29" s="35"/>
      <c r="BB29" s="35"/>
      <c r="BC29" s="35"/>
      <c r="BD29" s="35"/>
      <c r="BE29" s="35"/>
      <c r="BF29" s="35"/>
    </row>
    <row r="30" spans="1:58" ht="18" customHeight="1" x14ac:dyDescent="0.2">
      <c r="A30" s="835" t="s">
        <v>265</v>
      </c>
      <c r="B30" s="836" t="s">
        <v>405</v>
      </c>
      <c r="C30" s="837"/>
      <c r="D30" s="836" t="s">
        <v>417</v>
      </c>
      <c r="E30" s="836"/>
      <c r="F30" s="836"/>
      <c r="G30" s="836"/>
      <c r="H30" s="836" t="s">
        <v>451</v>
      </c>
      <c r="I30" s="836" t="s">
        <v>452</v>
      </c>
      <c r="J30" s="836" t="s">
        <v>487</v>
      </c>
      <c r="K30" s="836" t="s">
        <v>311</v>
      </c>
      <c r="L30" s="836" t="s">
        <v>404</v>
      </c>
      <c r="M30" s="856">
        <v>0.16</v>
      </c>
      <c r="N30" s="836" t="s">
        <v>170</v>
      </c>
      <c r="O30" s="840" t="s">
        <v>421</v>
      </c>
      <c r="P30" s="857"/>
      <c r="Q30" s="840" t="s">
        <v>422</v>
      </c>
      <c r="R30" s="858" t="s">
        <v>423</v>
      </c>
      <c r="S30" s="835" t="s">
        <v>265</v>
      </c>
      <c r="AB30" s="479"/>
      <c r="AC30" s="814"/>
      <c r="AD30" s="244"/>
      <c r="AE30" s="244"/>
      <c r="AF30" s="244"/>
      <c r="AG30" s="35"/>
      <c r="AH30" s="35"/>
      <c r="AI30" s="752"/>
      <c r="AJ30" s="35"/>
      <c r="AK30" s="244"/>
      <c r="AL30" s="35"/>
      <c r="AM30" s="35"/>
      <c r="AN30" s="244"/>
      <c r="AO30" s="244"/>
      <c r="AP30" s="244"/>
      <c r="AQ30" s="244"/>
      <c r="AR30" s="244"/>
      <c r="AS30" s="35"/>
      <c r="AT30" s="244"/>
      <c r="AU30" s="35"/>
      <c r="AV30" s="35"/>
      <c r="AW30" s="35"/>
      <c r="AX30" s="244"/>
      <c r="AY30" s="244"/>
      <c r="AZ30" s="814"/>
      <c r="BA30" s="35"/>
      <c r="BB30" s="35"/>
      <c r="BC30" s="35"/>
      <c r="BD30" s="35"/>
      <c r="BE30" s="35"/>
      <c r="BF30" s="35"/>
    </row>
    <row r="31" spans="1:58" ht="18" customHeight="1" x14ac:dyDescent="0.2">
      <c r="A31" s="199" t="s">
        <v>488</v>
      </c>
      <c r="B31" s="844" t="s">
        <v>489</v>
      </c>
      <c r="C31" s="844"/>
      <c r="D31" s="845" t="s">
        <v>417</v>
      </c>
      <c r="E31" s="844"/>
      <c r="F31" s="844"/>
      <c r="G31" s="844"/>
      <c r="H31" s="844"/>
      <c r="I31" s="844" t="s">
        <v>471</v>
      </c>
      <c r="J31" s="844" t="s">
        <v>472</v>
      </c>
      <c r="K31" s="844" t="s">
        <v>311</v>
      </c>
      <c r="L31" s="844" t="s">
        <v>430</v>
      </c>
      <c r="M31" s="859">
        <v>0.15</v>
      </c>
      <c r="N31" s="844" t="s">
        <v>170</v>
      </c>
      <c r="O31" s="848" t="s">
        <v>166</v>
      </c>
      <c r="P31" s="860"/>
      <c r="Q31" s="852" t="s">
        <v>427</v>
      </c>
      <c r="R31" s="861" t="s">
        <v>449</v>
      </c>
      <c r="S31" s="199" t="s">
        <v>271</v>
      </c>
      <c r="AB31" s="479"/>
      <c r="AC31" s="814"/>
      <c r="AD31" s="244"/>
      <c r="AE31" s="244"/>
      <c r="AF31" s="244"/>
      <c r="AG31" s="35"/>
      <c r="AH31" s="35"/>
      <c r="AI31" s="752"/>
      <c r="AJ31" s="35"/>
      <c r="AK31" s="35"/>
      <c r="AL31" s="244"/>
      <c r="AM31" s="35"/>
      <c r="AN31" s="35"/>
      <c r="AO31" s="35"/>
      <c r="AP31" s="35"/>
      <c r="AQ31" s="244"/>
      <c r="AR31" s="244"/>
      <c r="AS31" s="35"/>
      <c r="AT31" s="35"/>
      <c r="AU31" s="35"/>
      <c r="AV31" s="244"/>
      <c r="AW31" s="244"/>
      <c r="AX31" s="35"/>
      <c r="AY31" s="244"/>
      <c r="AZ31" s="814"/>
      <c r="BA31" s="35"/>
      <c r="BB31" s="35"/>
      <c r="BC31" s="35"/>
      <c r="BD31" s="35"/>
      <c r="BE31" s="35"/>
      <c r="BF31" s="35"/>
    </row>
    <row r="32" spans="1:58" ht="18" customHeight="1" x14ac:dyDescent="0.2">
      <c r="A32" s="835" t="s">
        <v>275</v>
      </c>
      <c r="B32" s="836" t="s">
        <v>405</v>
      </c>
      <c r="C32" s="837"/>
      <c r="D32" s="836" t="s">
        <v>417</v>
      </c>
      <c r="E32" s="836"/>
      <c r="F32" s="836"/>
      <c r="G32" s="836"/>
      <c r="H32" s="836"/>
      <c r="I32" s="836" t="s">
        <v>441</v>
      </c>
      <c r="J32" s="836" t="s">
        <v>442</v>
      </c>
      <c r="K32" s="836" t="s">
        <v>311</v>
      </c>
      <c r="L32" s="836" t="s">
        <v>430</v>
      </c>
      <c r="M32" s="856">
        <v>0.17</v>
      </c>
      <c r="N32" s="836" t="s">
        <v>170</v>
      </c>
      <c r="O32" s="840" t="s">
        <v>166</v>
      </c>
      <c r="P32" s="857" t="s">
        <v>1030</v>
      </c>
      <c r="Q32" s="840" t="s">
        <v>427</v>
      </c>
      <c r="R32" s="858" t="s">
        <v>431</v>
      </c>
      <c r="S32" s="835" t="s">
        <v>275</v>
      </c>
      <c r="AB32" s="479"/>
      <c r="AC32" s="814"/>
      <c r="AD32" s="244"/>
      <c r="AE32" s="244"/>
      <c r="AF32" s="244"/>
      <c r="AG32" s="35"/>
      <c r="AH32" s="35"/>
      <c r="AI32" s="244"/>
      <c r="AJ32" s="35"/>
      <c r="AK32" s="35"/>
      <c r="AL32" s="35"/>
      <c r="AM32" s="244"/>
      <c r="AN32" s="244"/>
      <c r="AO32" s="35"/>
      <c r="AP32" s="35"/>
      <c r="AQ32" s="35"/>
      <c r="AR32" s="244"/>
      <c r="AS32" s="35"/>
      <c r="AT32" s="244"/>
      <c r="AU32" s="35"/>
      <c r="AV32" s="35"/>
      <c r="AW32" s="35"/>
      <c r="AX32" s="35"/>
      <c r="AY32" s="244"/>
      <c r="AZ32" s="814"/>
      <c r="BA32" s="35"/>
      <c r="BB32" s="35"/>
      <c r="BC32" s="35"/>
      <c r="BD32" s="35"/>
      <c r="BE32" s="35"/>
      <c r="BF32" s="35"/>
    </row>
    <row r="33" spans="1:68" ht="18" customHeight="1" x14ac:dyDescent="0.2">
      <c r="A33" s="199" t="s">
        <v>490</v>
      </c>
      <c r="B33" s="844" t="s">
        <v>478</v>
      </c>
      <c r="C33" s="844"/>
      <c r="D33" s="845" t="s">
        <v>417</v>
      </c>
      <c r="E33" s="844"/>
      <c r="F33" s="844" t="s">
        <v>417</v>
      </c>
      <c r="G33" s="844"/>
      <c r="H33" s="844"/>
      <c r="I33" s="844" t="s">
        <v>491</v>
      </c>
      <c r="J33" s="844" t="s">
        <v>492</v>
      </c>
      <c r="K33" s="844" t="s">
        <v>311</v>
      </c>
      <c r="L33" s="844" t="s">
        <v>430</v>
      </c>
      <c r="M33" s="859">
        <v>0.15</v>
      </c>
      <c r="N33" s="844" t="s">
        <v>170</v>
      </c>
      <c r="O33" s="848" t="s">
        <v>166</v>
      </c>
      <c r="P33" s="860"/>
      <c r="Q33" s="852" t="s">
        <v>422</v>
      </c>
      <c r="R33" s="861"/>
      <c r="S33" s="199" t="s">
        <v>490</v>
      </c>
      <c r="AB33" s="479"/>
      <c r="AC33" s="814"/>
      <c r="AD33" s="244"/>
      <c r="AE33" s="244"/>
      <c r="AF33" s="244"/>
      <c r="AG33" s="35"/>
      <c r="AH33" s="35"/>
      <c r="AI33" s="752"/>
      <c r="AJ33" s="35"/>
      <c r="AK33" s="244"/>
      <c r="AL33" s="244"/>
      <c r="AM33" s="35"/>
      <c r="AN33" s="35"/>
      <c r="AO33" s="244"/>
      <c r="AP33" s="35"/>
      <c r="AQ33" s="35"/>
      <c r="AR33" s="244"/>
      <c r="AS33" s="35"/>
      <c r="AT33" s="244"/>
      <c r="AU33" s="244"/>
      <c r="AV33" s="35"/>
      <c r="AW33" s="35"/>
      <c r="AX33" s="244"/>
      <c r="AY33" s="244"/>
      <c r="AZ33" s="814"/>
      <c r="BA33" s="35"/>
      <c r="BB33" s="35"/>
      <c r="BC33" s="35"/>
      <c r="BD33" s="35"/>
      <c r="BE33" s="35"/>
      <c r="BF33" s="35"/>
    </row>
    <row r="34" spans="1:68" ht="18" customHeight="1" x14ac:dyDescent="0.2">
      <c r="A34" s="835" t="s">
        <v>279</v>
      </c>
      <c r="B34" s="836" t="s">
        <v>405</v>
      </c>
      <c r="C34" s="837"/>
      <c r="D34" s="836" t="s">
        <v>417</v>
      </c>
      <c r="E34" s="836"/>
      <c r="F34" s="836"/>
      <c r="G34" s="836"/>
      <c r="H34" s="836" t="s">
        <v>451</v>
      </c>
      <c r="I34" s="836" t="s">
        <v>476</v>
      </c>
      <c r="J34" s="836" t="s">
        <v>463</v>
      </c>
      <c r="K34" s="836" t="s">
        <v>311</v>
      </c>
      <c r="L34" s="836" t="s">
        <v>430</v>
      </c>
      <c r="M34" s="856">
        <v>0.16</v>
      </c>
      <c r="N34" s="836" t="s">
        <v>170</v>
      </c>
      <c r="O34" s="840" t="s">
        <v>166</v>
      </c>
      <c r="P34" s="857"/>
      <c r="Q34" s="840" t="s">
        <v>427</v>
      </c>
      <c r="R34" s="858"/>
      <c r="S34" s="835" t="s">
        <v>279</v>
      </c>
      <c r="AB34" s="479"/>
      <c r="AC34" s="814"/>
      <c r="AD34" s="741"/>
      <c r="AE34" s="244"/>
      <c r="AF34" s="244"/>
      <c r="AG34" s="35"/>
      <c r="AH34" s="35"/>
      <c r="AI34" s="752"/>
      <c r="AJ34" s="35"/>
      <c r="AK34" s="244"/>
      <c r="AL34" s="35"/>
      <c r="AM34" s="35"/>
      <c r="AN34" s="35"/>
      <c r="AO34" s="244"/>
      <c r="AP34" s="35"/>
      <c r="AQ34" s="244"/>
      <c r="AR34" s="244"/>
      <c r="AS34" s="35"/>
      <c r="AT34" s="244"/>
      <c r="AU34" s="244"/>
      <c r="AV34" s="35"/>
      <c r="AW34" s="35"/>
      <c r="AX34" s="244"/>
      <c r="AY34" s="244"/>
      <c r="AZ34" s="814"/>
      <c r="BA34" s="35"/>
      <c r="BB34" s="35"/>
      <c r="BC34" s="35"/>
      <c r="BD34" s="35"/>
      <c r="BE34" s="35"/>
      <c r="BF34" s="35"/>
    </row>
    <row r="35" spans="1:68" ht="18" customHeight="1" x14ac:dyDescent="0.2">
      <c r="A35" s="199" t="s">
        <v>283</v>
      </c>
      <c r="B35" s="844" t="s">
        <v>445</v>
      </c>
      <c r="C35" s="844"/>
      <c r="D35" s="845" t="s">
        <v>417</v>
      </c>
      <c r="E35" s="844"/>
      <c r="F35" s="844"/>
      <c r="G35" s="844" t="s">
        <v>417</v>
      </c>
      <c r="H35" s="844"/>
      <c r="I35" s="844" t="s">
        <v>436</v>
      </c>
      <c r="J35" s="844" t="s">
        <v>480</v>
      </c>
      <c r="K35" s="844" t="s">
        <v>311</v>
      </c>
      <c r="L35" s="844" t="s">
        <v>493</v>
      </c>
      <c r="M35" s="859">
        <v>0.14000000000000001</v>
      </c>
      <c r="N35" s="844" t="s">
        <v>171</v>
      </c>
      <c r="O35" s="848" t="s">
        <v>166</v>
      </c>
      <c r="P35" s="860"/>
      <c r="Q35" s="852" t="s">
        <v>427</v>
      </c>
      <c r="R35" s="861" t="s">
        <v>431</v>
      </c>
      <c r="S35" s="199" t="s">
        <v>283</v>
      </c>
      <c r="AB35" s="479"/>
      <c r="AC35" s="814"/>
      <c r="AD35" s="244"/>
      <c r="AE35" s="244"/>
      <c r="AF35" s="752"/>
      <c r="AG35" s="35"/>
      <c r="AH35" s="35"/>
      <c r="AI35" s="244"/>
      <c r="AJ35" s="35"/>
      <c r="AK35" s="35"/>
      <c r="AL35" s="35"/>
      <c r="AM35" s="244"/>
      <c r="AN35" s="35"/>
      <c r="AO35" s="244"/>
      <c r="AP35" s="35"/>
      <c r="AQ35" s="244"/>
      <c r="AR35" s="244"/>
      <c r="AS35" s="244"/>
      <c r="AT35" s="244"/>
      <c r="AU35" s="35"/>
      <c r="AV35" s="35"/>
      <c r="AW35" s="35"/>
      <c r="AX35" s="244"/>
      <c r="AY35" s="244"/>
      <c r="AZ35" s="814"/>
      <c r="BA35" s="35"/>
      <c r="BB35" s="35"/>
      <c r="BC35" s="35"/>
      <c r="BD35" s="35"/>
      <c r="BE35" s="35"/>
      <c r="BF35" s="35"/>
    </row>
    <row r="36" spans="1:68" ht="18" customHeight="1" x14ac:dyDescent="0.2">
      <c r="A36" s="835" t="s">
        <v>289</v>
      </c>
      <c r="B36" s="836" t="s">
        <v>450</v>
      </c>
      <c r="C36" s="837"/>
      <c r="D36" s="836" t="s">
        <v>417</v>
      </c>
      <c r="E36" s="836"/>
      <c r="F36" s="836"/>
      <c r="G36" s="836" t="s">
        <v>417</v>
      </c>
      <c r="H36" s="836"/>
      <c r="I36" s="836" t="s">
        <v>494</v>
      </c>
      <c r="J36" s="836" t="s">
        <v>495</v>
      </c>
      <c r="K36" s="836" t="s">
        <v>311</v>
      </c>
      <c r="L36" s="836" t="s">
        <v>404</v>
      </c>
      <c r="M36" s="856">
        <v>0.14000000000000001</v>
      </c>
      <c r="N36" s="836" t="s">
        <v>171</v>
      </c>
      <c r="O36" s="840"/>
      <c r="P36" s="857" t="s">
        <v>1031</v>
      </c>
      <c r="Q36" s="840" t="s">
        <v>493</v>
      </c>
      <c r="R36" s="858"/>
      <c r="S36" s="835" t="s">
        <v>289</v>
      </c>
      <c r="AB36" s="479"/>
      <c r="AC36" s="814"/>
      <c r="AD36" s="244"/>
      <c r="AE36" s="244"/>
      <c r="AF36" s="244"/>
      <c r="AG36" s="35"/>
      <c r="AH36" s="35"/>
      <c r="AI36" s="244"/>
      <c r="AJ36" s="35"/>
      <c r="AK36" s="244"/>
      <c r="AL36" s="244"/>
      <c r="AM36" s="35"/>
      <c r="AN36" s="244"/>
      <c r="AO36" s="35"/>
      <c r="AP36" s="35"/>
      <c r="AQ36" s="35"/>
      <c r="AR36" s="244"/>
      <c r="AS36" s="244"/>
      <c r="AT36" s="35"/>
      <c r="AU36" s="35"/>
      <c r="AV36" s="35"/>
      <c r="AW36" s="244"/>
      <c r="AX36" s="244"/>
      <c r="AY36" s="244"/>
      <c r="AZ36" s="814"/>
      <c r="BA36" s="35"/>
      <c r="BB36" s="35"/>
      <c r="BC36" s="35"/>
      <c r="BD36" s="35"/>
      <c r="BE36" s="35"/>
      <c r="BF36" s="35"/>
    </row>
    <row r="37" spans="1:68" ht="18" customHeight="1" x14ac:dyDescent="0.2">
      <c r="A37" s="199" t="s">
        <v>297</v>
      </c>
      <c r="B37" s="844" t="s">
        <v>445</v>
      </c>
      <c r="C37" s="844"/>
      <c r="D37" s="845"/>
      <c r="E37" s="844"/>
      <c r="F37" s="844" t="s">
        <v>417</v>
      </c>
      <c r="G37" s="844" t="s">
        <v>417</v>
      </c>
      <c r="H37" s="844"/>
      <c r="I37" s="844" t="s">
        <v>496</v>
      </c>
      <c r="J37" s="844" t="s">
        <v>497</v>
      </c>
      <c r="K37" s="844" t="s">
        <v>311</v>
      </c>
      <c r="L37" s="844" t="s">
        <v>404</v>
      </c>
      <c r="M37" s="859">
        <v>0.17</v>
      </c>
      <c r="N37" s="844" t="s">
        <v>170</v>
      </c>
      <c r="O37" s="848"/>
      <c r="P37" s="860"/>
      <c r="Q37" s="852" t="s">
        <v>422</v>
      </c>
      <c r="R37" s="861" t="s">
        <v>423</v>
      </c>
      <c r="S37" s="199" t="s">
        <v>297</v>
      </c>
      <c r="AB37" s="479"/>
      <c r="AC37" s="814"/>
      <c r="AD37" s="244"/>
      <c r="AE37" s="244"/>
      <c r="AF37" s="244"/>
      <c r="AG37" s="35"/>
      <c r="AH37" s="35"/>
      <c r="AI37" s="752"/>
      <c r="AJ37" s="244"/>
      <c r="AK37" s="244"/>
      <c r="AL37" s="35"/>
      <c r="AM37" s="35"/>
      <c r="AN37" s="244"/>
      <c r="AO37" s="35"/>
      <c r="AP37" s="35"/>
      <c r="AQ37" s="244"/>
      <c r="AR37" s="244"/>
      <c r="AS37" s="35"/>
      <c r="AT37" s="244"/>
      <c r="AU37" s="244"/>
      <c r="AV37" s="35"/>
      <c r="AW37" s="35"/>
      <c r="AX37" s="244"/>
      <c r="AY37" s="244"/>
      <c r="AZ37" s="814"/>
      <c r="BA37" s="35"/>
      <c r="BB37" s="35"/>
      <c r="BC37" s="35"/>
      <c r="BD37" s="35"/>
      <c r="BE37" s="35"/>
      <c r="BF37" s="35"/>
    </row>
    <row r="38" spans="1:68" ht="18" customHeight="1" x14ac:dyDescent="0.2">
      <c r="A38" s="835" t="s">
        <v>301</v>
      </c>
      <c r="B38" s="836" t="s">
        <v>445</v>
      </c>
      <c r="C38" s="837"/>
      <c r="D38" s="836"/>
      <c r="E38" s="836"/>
      <c r="F38" s="836" t="s">
        <v>417</v>
      </c>
      <c r="G38" s="836" t="s">
        <v>417</v>
      </c>
      <c r="H38" s="836"/>
      <c r="I38" s="836" t="s">
        <v>496</v>
      </c>
      <c r="J38" s="836" t="s">
        <v>498</v>
      </c>
      <c r="K38" s="836" t="s">
        <v>311</v>
      </c>
      <c r="L38" s="836" t="s">
        <v>430</v>
      </c>
      <c r="M38" s="856">
        <v>0.16</v>
      </c>
      <c r="N38" s="836" t="s">
        <v>171</v>
      </c>
      <c r="O38" s="840"/>
      <c r="P38" s="857"/>
      <c r="Q38" s="840" t="s">
        <v>439</v>
      </c>
      <c r="R38" s="858" t="s">
        <v>423</v>
      </c>
      <c r="S38" s="835" t="s">
        <v>301</v>
      </c>
      <c r="AB38" s="479"/>
      <c r="AC38" s="814"/>
      <c r="AD38" s="244"/>
      <c r="AE38" s="244"/>
      <c r="AF38" s="244"/>
      <c r="AG38" s="790"/>
      <c r="AH38" s="35"/>
      <c r="AI38" s="752"/>
      <c r="AJ38" s="35"/>
      <c r="AK38" s="35"/>
      <c r="AL38" s="35"/>
      <c r="AM38" s="35"/>
      <c r="AN38" s="244"/>
      <c r="AO38" s="35"/>
      <c r="AP38" s="35"/>
      <c r="AQ38" s="244"/>
      <c r="AR38" s="35"/>
      <c r="AS38" s="35"/>
      <c r="AT38" s="35"/>
      <c r="AU38" s="35"/>
      <c r="AV38" s="244"/>
      <c r="AW38" s="244"/>
      <c r="AX38" s="244"/>
      <c r="AY38" s="35"/>
      <c r="AZ38" s="814"/>
      <c r="BA38" s="35"/>
      <c r="BB38" s="35"/>
      <c r="BC38" s="35"/>
      <c r="BD38" s="35"/>
      <c r="BE38" s="35"/>
      <c r="BF38" s="35"/>
    </row>
    <row r="39" spans="1:68" ht="18" customHeight="1" x14ac:dyDescent="0.2">
      <c r="A39" s="606" t="s">
        <v>499</v>
      </c>
      <c r="B39" s="824" t="s">
        <v>500</v>
      </c>
      <c r="C39" s="853"/>
      <c r="D39" s="853"/>
      <c r="E39" s="853"/>
      <c r="F39" s="853"/>
      <c r="G39" s="853"/>
      <c r="H39" s="853"/>
      <c r="I39" s="853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AB39" s="479"/>
      <c r="AC39" s="814"/>
      <c r="AD39" s="244"/>
      <c r="AE39" s="244"/>
      <c r="AF39" s="244"/>
      <c r="AG39" s="792"/>
      <c r="AH39" s="35"/>
      <c r="AI39" s="752"/>
      <c r="AJ39" s="35"/>
      <c r="AK39" s="35"/>
      <c r="AL39" s="244"/>
      <c r="AM39" s="35"/>
      <c r="AN39" s="244"/>
      <c r="AO39" s="244"/>
      <c r="AP39" s="35"/>
      <c r="AQ39" s="35"/>
      <c r="AR39" s="35"/>
      <c r="AS39" s="35"/>
      <c r="AT39" s="244"/>
      <c r="AU39" s="244"/>
      <c r="AV39" s="35"/>
      <c r="AW39" s="35"/>
      <c r="AX39" s="244"/>
      <c r="AY39" s="244"/>
      <c r="AZ39" s="814"/>
      <c r="BA39" s="35"/>
      <c r="BB39" s="35"/>
      <c r="BC39" s="35"/>
      <c r="BD39" s="35"/>
      <c r="BE39" s="35"/>
      <c r="BF39" s="35"/>
    </row>
    <row r="40" spans="1:68" ht="18" customHeight="1" x14ac:dyDescent="0.2">
      <c r="A40" s="606" t="s">
        <v>405</v>
      </c>
      <c r="B40" s="824" t="s">
        <v>635</v>
      </c>
      <c r="C40" s="853"/>
      <c r="D40" s="853"/>
      <c r="E40" s="853"/>
      <c r="F40" s="853"/>
      <c r="G40" s="853"/>
      <c r="H40" s="853"/>
      <c r="I40" s="853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AB40" s="479"/>
      <c r="AC40" s="814"/>
      <c r="AD40" s="244"/>
      <c r="AE40" s="244"/>
      <c r="AF40" s="752"/>
      <c r="AG40" s="35"/>
      <c r="AH40" s="35"/>
      <c r="AI40" s="752"/>
      <c r="AJ40" s="35"/>
      <c r="AK40" s="244"/>
      <c r="AL40" s="35"/>
      <c r="AM40" s="35"/>
      <c r="AN40" s="244"/>
      <c r="AO40" s="35"/>
      <c r="AP40" s="244"/>
      <c r="AQ40" s="244"/>
      <c r="AR40" s="35"/>
      <c r="AS40" s="35"/>
      <c r="AT40" s="35"/>
      <c r="AU40" s="244"/>
      <c r="AV40" s="35"/>
      <c r="AW40" s="35"/>
      <c r="AX40" s="244"/>
      <c r="AY40" s="244"/>
      <c r="AZ40" s="814"/>
      <c r="BA40" s="35"/>
      <c r="BB40" s="35"/>
      <c r="BC40" s="35"/>
      <c r="BD40" s="35"/>
      <c r="BE40" s="35"/>
      <c r="BF40" s="35"/>
    </row>
    <row r="41" spans="1:68" ht="15" x14ac:dyDescent="0.2">
      <c r="A41" s="485"/>
      <c r="B41" s="484"/>
      <c r="C41" s="449"/>
      <c r="D41" s="449"/>
      <c r="E41" s="449"/>
      <c r="F41" s="449"/>
      <c r="G41" s="449"/>
      <c r="H41" s="449"/>
      <c r="I41" s="449"/>
      <c r="U41" s="479"/>
      <c r="AC41" s="814"/>
      <c r="AD41" s="244"/>
      <c r="AE41" s="244"/>
      <c r="AF41" s="244"/>
      <c r="AG41" s="35"/>
      <c r="AH41" s="35"/>
      <c r="AI41" s="244"/>
      <c r="AJ41" s="35"/>
      <c r="AK41" s="35"/>
      <c r="AL41" s="35"/>
      <c r="AM41" s="35"/>
      <c r="AN41" s="244"/>
      <c r="AO41" s="35"/>
      <c r="AP41" s="35"/>
      <c r="AQ41" s="35"/>
      <c r="AR41" s="244"/>
      <c r="AS41" s="35"/>
      <c r="AT41" s="35"/>
      <c r="AU41" s="35"/>
      <c r="AV41" s="244"/>
      <c r="AW41" s="244"/>
      <c r="AX41" s="35"/>
      <c r="AY41" s="35"/>
      <c r="AZ41" s="814"/>
      <c r="BA41" s="35"/>
      <c r="BB41" s="35"/>
      <c r="BC41" s="35"/>
      <c r="BD41" s="35"/>
      <c r="BE41" s="35"/>
      <c r="BF41" s="35"/>
    </row>
    <row r="42" spans="1:68" ht="20.100000000000001" customHeight="1" x14ac:dyDescent="0.2">
      <c r="B42" s="1098"/>
      <c r="C42" s="1098"/>
      <c r="D42" s="1098"/>
      <c r="E42" s="1092"/>
      <c r="F42" s="1092"/>
      <c r="G42" s="1092"/>
      <c r="H42" s="1092"/>
      <c r="I42" s="804"/>
      <c r="J42" s="1098"/>
      <c r="K42" s="1098"/>
      <c r="L42" s="1098"/>
      <c r="M42" s="1092"/>
      <c r="N42" s="1092"/>
      <c r="O42" s="1092"/>
      <c r="P42" s="1092"/>
      <c r="R42" s="490"/>
      <c r="S42" s="490"/>
      <c r="T42" s="490"/>
      <c r="U42" s="490"/>
      <c r="V42" s="135"/>
      <c r="Y42" s="728"/>
      <c r="Z42" s="728"/>
      <c r="AA42" s="728"/>
      <c r="AB42" s="728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68" ht="20.100000000000001" customHeight="1" x14ac:dyDescent="0.25">
      <c r="B43" s="1084"/>
      <c r="C43" s="1084"/>
      <c r="D43" s="1084"/>
      <c r="E43" s="808"/>
      <c r="F43" s="805"/>
      <c r="G43" s="805"/>
      <c r="H43" s="805"/>
      <c r="I43" s="805"/>
      <c r="J43" s="1063"/>
      <c r="K43" s="1063"/>
      <c r="L43" s="1063"/>
      <c r="M43" s="808"/>
      <c r="N43" s="805"/>
      <c r="O43" s="805"/>
      <c r="P43" s="805"/>
      <c r="R43" s="392"/>
      <c r="U43" s="392"/>
      <c r="V43" s="392"/>
      <c r="AC43" s="95"/>
      <c r="AD43" s="95"/>
      <c r="AE43" s="95"/>
      <c r="AF43" s="95"/>
      <c r="AG43" s="95"/>
      <c r="AH43" s="95"/>
      <c r="AI43" s="9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68" ht="20.100000000000001" customHeight="1" x14ac:dyDescent="0.2">
      <c r="B44" s="1095"/>
      <c r="C44" s="1093"/>
      <c r="D44" s="1093"/>
      <c r="E44" s="1093"/>
      <c r="F44" s="1093"/>
      <c r="G44" s="1101"/>
      <c r="H44" s="1101"/>
      <c r="I44" s="809"/>
      <c r="J44" s="1095"/>
      <c r="K44" s="1093"/>
      <c r="L44" s="1093"/>
      <c r="M44" s="1093"/>
      <c r="N44" s="1093"/>
      <c r="O44" s="809"/>
      <c r="P44" s="809"/>
      <c r="R44" s="1056"/>
      <c r="S44" s="1056"/>
      <c r="T44" s="1056"/>
      <c r="V44" s="1085"/>
      <c r="W44" s="1085"/>
      <c r="X44" s="1085"/>
      <c r="AC44" s="35"/>
      <c r="AD44" s="792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68" ht="20.100000000000001" customHeight="1" x14ac:dyDescent="0.2">
      <c r="B45" s="1095"/>
      <c r="C45" s="1093"/>
      <c r="D45" s="1093"/>
      <c r="E45" s="1093"/>
      <c r="F45" s="1093"/>
      <c r="G45" s="1099"/>
      <c r="H45" s="1099"/>
      <c r="I45" s="806"/>
      <c r="J45" s="1095"/>
      <c r="K45" s="1093"/>
      <c r="L45" s="1093"/>
      <c r="M45" s="1093"/>
      <c r="N45" s="1093"/>
      <c r="O45" s="809"/>
      <c r="P45" s="809"/>
      <c r="R45" s="1084"/>
      <c r="S45" s="1084"/>
      <c r="T45" s="1084"/>
      <c r="V45" s="1052"/>
      <c r="W45" s="1052"/>
      <c r="X45" s="1052"/>
      <c r="Y45" s="1052"/>
      <c r="Z45" s="1052"/>
      <c r="AA45" s="727"/>
      <c r="AB45" s="727"/>
      <c r="AC45" s="729"/>
      <c r="AD45" s="9"/>
      <c r="AZ45" s="727"/>
      <c r="BA45" s="727"/>
      <c r="BB45" s="727"/>
      <c r="BC45" s="727"/>
      <c r="BD45" s="727"/>
      <c r="BE45" s="727"/>
      <c r="BF45" s="727"/>
      <c r="BG45" s="727"/>
      <c r="BH45" s="727"/>
      <c r="BI45" s="727"/>
      <c r="BJ45" s="727"/>
      <c r="BK45" s="727"/>
      <c r="BL45" s="727"/>
      <c r="BM45" s="727"/>
      <c r="BN45" s="727"/>
      <c r="BO45" s="727"/>
      <c r="BP45" s="727"/>
    </row>
    <row r="46" spans="1:68" ht="20.100000000000001" customHeight="1" x14ac:dyDescent="0.2">
      <c r="B46" s="1095"/>
      <c r="C46" s="1094"/>
      <c r="D46" s="1094"/>
      <c r="E46" s="1094"/>
      <c r="F46" s="1094"/>
      <c r="G46" s="1099"/>
      <c r="H46" s="1099"/>
      <c r="I46" s="806"/>
      <c r="J46" s="1095"/>
      <c r="K46" s="1094"/>
      <c r="L46" s="1094"/>
      <c r="M46" s="1094"/>
      <c r="N46" s="1094"/>
      <c r="O46" s="809"/>
      <c r="P46" s="809"/>
      <c r="AC46" s="727"/>
      <c r="AD46" s="727"/>
      <c r="AE46" s="727"/>
      <c r="AF46" s="727"/>
      <c r="AG46" s="727"/>
      <c r="AH46" s="727"/>
      <c r="AI46" s="727"/>
      <c r="AJ46" s="727"/>
      <c r="AK46" s="727"/>
      <c r="AL46" s="727"/>
      <c r="AM46" s="727"/>
      <c r="AN46" s="727"/>
      <c r="AO46" s="727"/>
      <c r="AP46" s="727"/>
      <c r="AQ46" s="727"/>
      <c r="AR46" s="727"/>
      <c r="AS46" s="727"/>
      <c r="AT46" s="727"/>
      <c r="AU46" s="727"/>
      <c r="AV46" s="727"/>
      <c r="AW46" s="727"/>
      <c r="AX46" s="727"/>
      <c r="AY46" s="727"/>
    </row>
    <row r="47" spans="1:68" ht="20.100000000000001" customHeight="1" x14ac:dyDescent="0.2">
      <c r="B47" s="1095"/>
      <c r="C47" s="1093"/>
      <c r="D47" s="1093"/>
      <c r="E47" s="1093"/>
      <c r="F47" s="1093"/>
      <c r="G47" s="1099"/>
      <c r="H47" s="1099"/>
      <c r="I47" s="806"/>
      <c r="J47" s="1095"/>
      <c r="K47" s="1093"/>
      <c r="L47" s="1093"/>
      <c r="M47" s="1093"/>
      <c r="N47" s="1093"/>
      <c r="O47" s="809"/>
      <c r="P47" s="809"/>
      <c r="AC47" s="489"/>
      <c r="AD47" s="488"/>
      <c r="AE47" s="488"/>
      <c r="AF47" s="488"/>
      <c r="AG47" s="488"/>
      <c r="AH47" s="488"/>
      <c r="AI47" s="488"/>
      <c r="AJ47" s="488"/>
      <c r="AK47" s="488"/>
    </row>
    <row r="48" spans="1:68" ht="20.100000000000001" customHeight="1" x14ac:dyDescent="0.2">
      <c r="B48" s="1095"/>
      <c r="C48" s="1093"/>
      <c r="D48" s="1093"/>
      <c r="E48" s="1093"/>
      <c r="F48" s="810"/>
      <c r="G48" s="1099"/>
      <c r="H48" s="1099"/>
      <c r="I48" s="806"/>
      <c r="J48" s="1095"/>
      <c r="K48" s="1093"/>
      <c r="L48" s="1093"/>
      <c r="M48" s="1093"/>
      <c r="N48" s="810"/>
      <c r="O48" s="809"/>
      <c r="P48" s="809"/>
      <c r="R48" s="491"/>
      <c r="AC48" s="489"/>
      <c r="AD48" s="488"/>
      <c r="AE48" s="488"/>
      <c r="AF48" s="488"/>
      <c r="AG48" s="488"/>
      <c r="AH48" s="488"/>
      <c r="AI48" s="488"/>
      <c r="AJ48" s="488"/>
      <c r="AK48" s="488"/>
    </row>
    <row r="49" spans="2:30" ht="19.5" customHeight="1" x14ac:dyDescent="0.2">
      <c r="B49" s="1095"/>
      <c r="C49" s="1093"/>
      <c r="D49" s="1093"/>
      <c r="E49" s="1093"/>
      <c r="F49" s="1093"/>
      <c r="G49" s="1099"/>
      <c r="H49" s="1099"/>
      <c r="I49" s="806"/>
      <c r="J49" s="1095"/>
      <c r="K49" s="1093"/>
      <c r="L49" s="1093"/>
      <c r="M49" s="1093"/>
      <c r="N49" s="1093"/>
      <c r="O49" s="809"/>
      <c r="P49" s="809"/>
      <c r="AC49" s="489"/>
      <c r="AD49" s="488"/>
    </row>
    <row r="50" spans="2:30" ht="20.100000000000001" customHeight="1" x14ac:dyDescent="0.2">
      <c r="B50" s="1095"/>
      <c r="C50" s="1094"/>
      <c r="D50" s="1094"/>
      <c r="E50" s="1094"/>
      <c r="F50" s="1094"/>
      <c r="G50" s="1099"/>
      <c r="H50" s="1099"/>
      <c r="I50" s="806"/>
      <c r="J50" s="1095"/>
      <c r="K50" s="1094"/>
      <c r="L50" s="1094"/>
      <c r="M50" s="1094"/>
      <c r="N50" s="1094"/>
      <c r="O50" s="806"/>
      <c r="P50" s="806"/>
      <c r="AC50" s="489"/>
      <c r="AD50" s="488"/>
    </row>
    <row r="51" spans="2:30" ht="20.100000000000001" customHeight="1" x14ac:dyDescent="0.2">
      <c r="B51" s="1095"/>
      <c r="C51" s="1093"/>
      <c r="D51" s="1093"/>
      <c r="E51" s="1093"/>
      <c r="F51" s="1093"/>
      <c r="G51" s="1099"/>
      <c r="H51" s="1099"/>
      <c r="I51" s="806"/>
      <c r="J51" s="1095"/>
      <c r="K51" s="1093"/>
      <c r="L51" s="1093"/>
      <c r="M51" s="1093"/>
      <c r="N51" s="1093"/>
      <c r="O51" s="806"/>
      <c r="P51" s="806"/>
      <c r="AC51" s="489"/>
      <c r="AD51" s="488"/>
    </row>
    <row r="52" spans="2:30" ht="20.100000000000001" customHeight="1" x14ac:dyDescent="0.2">
      <c r="B52" s="1095"/>
      <c r="C52" s="804"/>
      <c r="D52" s="804"/>
      <c r="E52" s="804"/>
      <c r="F52" s="804"/>
      <c r="G52" s="1099"/>
      <c r="H52" s="1099"/>
      <c r="I52" s="806"/>
      <c r="J52" s="1095"/>
      <c r="K52" s="804"/>
      <c r="L52" s="804"/>
      <c r="M52" s="804"/>
      <c r="N52" s="804"/>
      <c r="O52" s="806"/>
      <c r="P52" s="806"/>
      <c r="AC52" s="489"/>
      <c r="AD52" s="488"/>
    </row>
    <row r="53" spans="2:30" ht="20.100000000000001" customHeight="1" x14ac:dyDescent="0.2">
      <c r="B53" s="1095"/>
      <c r="C53" s="1093"/>
      <c r="D53" s="1093"/>
      <c r="E53" s="1093"/>
      <c r="F53" s="1093"/>
      <c r="G53" s="1099"/>
      <c r="H53" s="1099"/>
      <c r="I53" s="806"/>
      <c r="J53" s="1095"/>
      <c r="K53" s="1093"/>
      <c r="L53" s="1093"/>
      <c r="M53" s="1093"/>
      <c r="N53" s="1093"/>
      <c r="O53" s="806"/>
      <c r="P53" s="806"/>
      <c r="AC53" s="489"/>
      <c r="AD53" s="488"/>
    </row>
    <row r="54" spans="2:30" ht="20.100000000000001" customHeight="1" x14ac:dyDescent="0.2">
      <c r="B54" s="1095"/>
      <c r="C54" s="1093"/>
      <c r="D54" s="1093"/>
      <c r="E54" s="1093"/>
      <c r="F54" s="1093"/>
      <c r="G54" s="1099"/>
      <c r="H54" s="1099"/>
      <c r="I54" s="806"/>
      <c r="J54" s="1095"/>
      <c r="K54" s="1093"/>
      <c r="L54" s="1093"/>
      <c r="M54" s="1093"/>
      <c r="N54" s="1093"/>
      <c r="O54" s="806"/>
      <c r="P54" s="806"/>
      <c r="AC54" s="489"/>
      <c r="AD54" s="488"/>
    </row>
    <row r="55" spans="2:30" ht="20.100000000000001" customHeight="1" x14ac:dyDescent="0.2">
      <c r="B55" s="1095"/>
      <c r="C55" s="1093"/>
      <c r="D55" s="1093"/>
      <c r="E55" s="1093"/>
      <c r="F55" s="1093"/>
      <c r="G55" s="1099"/>
      <c r="H55" s="1099"/>
      <c r="I55" s="806"/>
      <c r="J55" s="1095"/>
      <c r="K55" s="1093"/>
      <c r="L55" s="1093"/>
      <c r="M55" s="1093"/>
      <c r="N55" s="1093"/>
      <c r="O55" s="806"/>
      <c r="P55" s="806"/>
      <c r="AC55" s="489"/>
      <c r="AD55" s="488"/>
    </row>
    <row r="56" spans="2:30" ht="20.100000000000001" customHeight="1" x14ac:dyDescent="0.2">
      <c r="B56" s="1095"/>
      <c r="C56" s="1093"/>
      <c r="D56" s="1093"/>
      <c r="E56" s="1093"/>
      <c r="F56" s="1093"/>
      <c r="G56" s="1099"/>
      <c r="H56" s="1099"/>
      <c r="I56" s="806"/>
      <c r="J56" s="1095"/>
      <c r="K56" s="1093"/>
      <c r="L56" s="1093"/>
      <c r="M56" s="1093"/>
      <c r="N56" s="1093"/>
      <c r="O56" s="806"/>
      <c r="P56" s="806"/>
      <c r="AC56" s="489"/>
      <c r="AD56" s="488"/>
    </row>
    <row r="57" spans="2:30" ht="20.100000000000001" customHeight="1" x14ac:dyDescent="0.2">
      <c r="B57" s="1095"/>
      <c r="C57" s="1093"/>
      <c r="D57" s="1093"/>
      <c r="E57" s="1093"/>
      <c r="F57" s="1093"/>
      <c r="G57" s="1099"/>
      <c r="H57" s="1099"/>
      <c r="I57" s="806"/>
      <c r="J57" s="1095"/>
      <c r="K57" s="1093"/>
      <c r="L57" s="1093"/>
      <c r="M57" s="1093"/>
      <c r="N57" s="1093"/>
      <c r="O57" s="806"/>
      <c r="P57" s="806"/>
      <c r="AC57" s="489"/>
      <c r="AD57" s="488"/>
    </row>
    <row r="58" spans="2:30" ht="20.100000000000001" customHeight="1" x14ac:dyDescent="0.2">
      <c r="B58" s="1100"/>
      <c r="C58" s="1093"/>
      <c r="D58" s="1093"/>
      <c r="E58" s="1093"/>
      <c r="F58" s="1093"/>
      <c r="G58" s="1099"/>
      <c r="H58" s="1099"/>
      <c r="I58" s="806"/>
      <c r="J58" s="810"/>
      <c r="K58" s="1093"/>
      <c r="L58" s="1093"/>
      <c r="M58" s="1093"/>
      <c r="N58" s="1093"/>
      <c r="O58" s="806"/>
      <c r="P58" s="806"/>
      <c r="AC58" s="489"/>
      <c r="AD58" s="488"/>
    </row>
    <row r="59" spans="2:30" ht="20.100000000000001" customHeight="1" x14ac:dyDescent="0.2">
      <c r="B59" s="1095"/>
      <c r="C59" s="1093"/>
      <c r="D59" s="1093"/>
      <c r="E59" s="1093"/>
      <c r="F59" s="1093"/>
      <c r="G59" s="1099"/>
      <c r="H59" s="1099"/>
      <c r="I59" s="806"/>
      <c r="J59" s="810"/>
      <c r="K59" s="1093"/>
      <c r="L59" s="1093"/>
      <c r="M59" s="1093"/>
      <c r="N59" s="1093"/>
      <c r="O59" s="806"/>
      <c r="P59" s="806"/>
      <c r="AC59" s="489"/>
      <c r="AD59" s="488"/>
    </row>
    <row r="60" spans="2:30" ht="20.100000000000001" customHeight="1" x14ac:dyDescent="0.2">
      <c r="B60" s="1095"/>
      <c r="C60" s="1093"/>
      <c r="D60" s="1093"/>
      <c r="E60" s="1093"/>
      <c r="F60" s="1093"/>
      <c r="G60" s="1099"/>
      <c r="H60" s="1099"/>
      <c r="I60" s="806"/>
      <c r="J60" s="1102"/>
      <c r="K60" s="1093"/>
      <c r="L60" s="1093"/>
      <c r="M60" s="1093"/>
      <c r="N60" s="1093"/>
      <c r="O60" s="810"/>
      <c r="P60" s="810"/>
      <c r="AC60" s="489"/>
      <c r="AD60" s="488"/>
    </row>
    <row r="61" spans="2:30" ht="20.100000000000001" customHeight="1" x14ac:dyDescent="0.2">
      <c r="B61" s="1095"/>
      <c r="C61" s="1093"/>
      <c r="D61" s="1093"/>
      <c r="E61" s="1093"/>
      <c r="F61" s="1093"/>
      <c r="G61" s="1099"/>
      <c r="H61" s="1099"/>
      <c r="I61" s="806"/>
      <c r="J61" s="1102"/>
      <c r="K61" s="1093"/>
      <c r="L61" s="1093"/>
      <c r="M61" s="1093"/>
      <c r="N61" s="1093"/>
      <c r="O61" s="806"/>
      <c r="P61" s="806"/>
      <c r="AC61" s="489"/>
      <c r="AD61" s="488"/>
    </row>
    <row r="62" spans="2:30" ht="20.100000000000001" customHeight="1" x14ac:dyDescent="0.2">
      <c r="B62" s="1095"/>
      <c r="C62" s="1093"/>
      <c r="D62" s="1093"/>
      <c r="E62" s="1093"/>
      <c r="F62" s="1093"/>
      <c r="G62" s="1099"/>
      <c r="H62" s="1099"/>
      <c r="I62" s="806"/>
      <c r="J62" s="1102"/>
      <c r="K62" s="1093"/>
      <c r="L62" s="1093"/>
      <c r="M62" s="1093"/>
      <c r="N62" s="1093"/>
      <c r="O62" s="806"/>
      <c r="P62" s="806"/>
      <c r="AC62" s="489"/>
      <c r="AD62" s="488"/>
    </row>
    <row r="63" spans="2:30" ht="15.75" x14ac:dyDescent="0.2">
      <c r="B63" s="810"/>
      <c r="C63" s="807"/>
      <c r="D63" s="807"/>
      <c r="E63" s="807"/>
      <c r="F63" s="807"/>
      <c r="G63" s="806"/>
      <c r="H63" s="806"/>
      <c r="I63" s="806"/>
      <c r="J63" s="1102"/>
      <c r="K63" s="1093"/>
      <c r="L63" s="1093"/>
      <c r="M63" s="1093"/>
      <c r="N63" s="1093"/>
      <c r="O63" s="806"/>
      <c r="P63" s="806"/>
      <c r="AC63" s="489"/>
      <c r="AD63" s="488"/>
    </row>
    <row r="64" spans="2:30" ht="15.75" x14ac:dyDescent="0.2">
      <c r="B64" s="810"/>
      <c r="C64" s="807"/>
      <c r="D64" s="807"/>
      <c r="E64" s="807"/>
      <c r="F64" s="807"/>
      <c r="G64" s="806"/>
      <c r="H64" s="806"/>
      <c r="I64" s="806"/>
      <c r="J64" s="1102"/>
      <c r="K64" s="1093"/>
      <c r="L64" s="1093"/>
      <c r="M64" s="1093"/>
      <c r="N64" s="1093"/>
      <c r="O64" s="806"/>
      <c r="P64" s="806"/>
      <c r="AC64" s="489"/>
      <c r="AD64" s="488"/>
    </row>
    <row r="65" spans="2:18" ht="15.75" x14ac:dyDescent="0.2">
      <c r="B65" s="810"/>
      <c r="C65" s="807"/>
      <c r="D65" s="807"/>
      <c r="E65" s="807"/>
      <c r="F65" s="807"/>
      <c r="G65" s="806"/>
      <c r="H65" s="806"/>
      <c r="I65" s="806"/>
      <c r="J65" s="1102"/>
      <c r="K65" s="1093"/>
      <c r="L65" s="1093"/>
      <c r="M65" s="1093"/>
      <c r="N65" s="1093"/>
      <c r="O65" s="806"/>
      <c r="P65" s="806"/>
    </row>
    <row r="66" spans="2:18" ht="15.75" x14ac:dyDescent="0.2">
      <c r="B66" s="810"/>
      <c r="C66" s="807"/>
      <c r="D66" s="807"/>
      <c r="E66" s="807"/>
      <c r="F66" s="807"/>
      <c r="G66" s="806"/>
      <c r="H66" s="806"/>
      <c r="I66" s="806"/>
      <c r="J66" s="1102"/>
      <c r="K66" s="810"/>
      <c r="L66" s="810"/>
      <c r="M66" s="810"/>
      <c r="N66" s="810"/>
      <c r="O66" s="810"/>
      <c r="P66" s="810"/>
      <c r="R66" s="168"/>
    </row>
    <row r="67" spans="2:18" ht="15.75" x14ac:dyDescent="0.2">
      <c r="C67" s="736"/>
      <c r="D67" s="736"/>
      <c r="E67" s="736"/>
      <c r="F67" s="736"/>
      <c r="G67" s="727"/>
      <c r="H67" s="727"/>
      <c r="I67" s="727"/>
      <c r="R67" s="168"/>
    </row>
    <row r="68" spans="2:18" ht="15.75" x14ac:dyDescent="0.2">
      <c r="C68" s="736"/>
      <c r="D68" s="736"/>
      <c r="E68" s="736"/>
      <c r="F68" s="736"/>
      <c r="G68" s="727"/>
      <c r="H68" s="727"/>
      <c r="I68" s="727"/>
      <c r="J68" s="727"/>
      <c r="K68" s="727"/>
      <c r="L68" s="727"/>
      <c r="M68" s="727"/>
      <c r="N68" s="727"/>
      <c r="O68" s="727"/>
      <c r="P68" s="727"/>
      <c r="R68" s="168"/>
    </row>
    <row r="69" spans="2:18" ht="15.75" x14ac:dyDescent="0.2">
      <c r="C69" s="736"/>
      <c r="D69" s="736"/>
      <c r="E69" s="736"/>
      <c r="F69" s="736"/>
      <c r="G69" s="727"/>
      <c r="H69" s="727"/>
      <c r="I69" s="727"/>
      <c r="J69" s="1086"/>
      <c r="K69" s="1074"/>
      <c r="L69" s="1074"/>
      <c r="M69" s="1074"/>
      <c r="N69" s="1074"/>
      <c r="O69" s="1052"/>
      <c r="P69" s="1052"/>
      <c r="Q69" s="168"/>
    </row>
    <row r="70" spans="2:18" ht="15.75" x14ac:dyDescent="0.2">
      <c r="C70" s="736"/>
      <c r="D70" s="736"/>
      <c r="E70" s="736"/>
      <c r="F70" s="736"/>
      <c r="G70" s="727"/>
      <c r="H70" s="727"/>
      <c r="I70" s="727"/>
      <c r="J70" s="1087"/>
      <c r="K70" s="1074"/>
      <c r="L70" s="1074"/>
      <c r="M70" s="1074"/>
      <c r="N70" s="1074"/>
      <c r="O70" s="1052"/>
      <c r="P70" s="1052"/>
      <c r="Q70" s="168"/>
    </row>
    <row r="71" spans="2:18" ht="15.75" x14ac:dyDescent="0.2">
      <c r="C71" s="736"/>
      <c r="D71" s="736"/>
      <c r="E71" s="736"/>
      <c r="F71" s="736"/>
      <c r="G71" s="727"/>
      <c r="H71" s="727"/>
      <c r="I71" s="727"/>
      <c r="J71" s="1087"/>
      <c r="K71" s="1074"/>
      <c r="L71" s="1074"/>
      <c r="M71" s="1074"/>
      <c r="N71" s="1074"/>
      <c r="O71" s="1052"/>
      <c r="P71" s="1052"/>
      <c r="Q71" s="168"/>
    </row>
    <row r="72" spans="2:18" ht="15.75" x14ac:dyDescent="0.2">
      <c r="C72" s="736"/>
      <c r="D72" s="736"/>
      <c r="E72" s="736"/>
      <c r="F72" s="736"/>
      <c r="G72" s="727"/>
      <c r="H72" s="727"/>
      <c r="I72" s="727"/>
      <c r="J72" s="1087"/>
      <c r="K72" s="1074"/>
      <c r="L72" s="1074"/>
      <c r="M72" s="1074"/>
      <c r="N72" s="1074"/>
      <c r="O72" s="1052"/>
      <c r="P72" s="1052"/>
      <c r="Q72" s="168"/>
    </row>
    <row r="73" spans="2:18" ht="15.75" x14ac:dyDescent="0.2">
      <c r="C73" s="736"/>
      <c r="D73" s="35"/>
      <c r="E73" s="35"/>
      <c r="F73" s="35"/>
      <c r="G73" s="727"/>
      <c r="H73" s="727"/>
      <c r="I73" s="727"/>
      <c r="J73" s="1087"/>
      <c r="K73" s="1074"/>
      <c r="L73" s="1074"/>
      <c r="M73" s="1074"/>
      <c r="N73" s="1074"/>
      <c r="O73" s="1052"/>
      <c r="P73" s="1052"/>
      <c r="Q73" s="168"/>
    </row>
    <row r="74" spans="2:18" ht="15.75" x14ac:dyDescent="0.2">
      <c r="C74" s="736"/>
      <c r="D74" s="736"/>
      <c r="E74" s="736"/>
      <c r="F74" s="736"/>
      <c r="G74" s="727"/>
      <c r="H74" s="727"/>
      <c r="I74" s="727"/>
      <c r="J74" s="727"/>
      <c r="K74" s="727"/>
      <c r="L74" s="727"/>
      <c r="M74" s="727"/>
      <c r="N74" s="727"/>
      <c r="O74" s="727"/>
      <c r="Q74" s="168"/>
    </row>
    <row r="75" spans="2:18" ht="15.75" x14ac:dyDescent="0.2">
      <c r="C75" s="726"/>
      <c r="D75" s="726"/>
      <c r="E75" s="726"/>
      <c r="F75" s="726"/>
      <c r="G75" s="727"/>
      <c r="H75" s="727"/>
      <c r="I75" s="727"/>
      <c r="J75" s="727"/>
      <c r="K75" s="727"/>
      <c r="L75" s="727"/>
      <c r="M75" s="727"/>
      <c r="N75" s="727"/>
      <c r="O75" s="727"/>
      <c r="Q75" s="168"/>
    </row>
  </sheetData>
  <sheetProtection sheet="1" objects="1" scenarios="1" formatCells="0"/>
  <mergeCells count="87">
    <mergeCell ref="K61:N61"/>
    <mergeCell ref="K62:N62"/>
    <mergeCell ref="K63:N63"/>
    <mergeCell ref="K64:N64"/>
    <mergeCell ref="K65:N65"/>
    <mergeCell ref="O72:P72"/>
    <mergeCell ref="K73:N73"/>
    <mergeCell ref="O73:P73"/>
    <mergeCell ref="K57:N57"/>
    <mergeCell ref="J69:J73"/>
    <mergeCell ref="K69:N69"/>
    <mergeCell ref="O69:P69"/>
    <mergeCell ref="K70:N70"/>
    <mergeCell ref="O70:P70"/>
    <mergeCell ref="K71:N71"/>
    <mergeCell ref="O71:P71"/>
    <mergeCell ref="K72:N72"/>
    <mergeCell ref="J60:J66"/>
    <mergeCell ref="K58:N58"/>
    <mergeCell ref="K59:N59"/>
    <mergeCell ref="K60:N60"/>
    <mergeCell ref="C50:F50"/>
    <mergeCell ref="C51:F51"/>
    <mergeCell ref="C53:F53"/>
    <mergeCell ref="G50:H50"/>
    <mergeCell ref="G52:H52"/>
    <mergeCell ref="G51:H51"/>
    <mergeCell ref="G53:H53"/>
    <mergeCell ref="J50:J57"/>
    <mergeCell ref="K50:N50"/>
    <mergeCell ref="K51:N51"/>
    <mergeCell ref="K53:N53"/>
    <mergeCell ref="K54:N54"/>
    <mergeCell ref="K55:N55"/>
    <mergeCell ref="K56:N56"/>
    <mergeCell ref="G58:H58"/>
    <mergeCell ref="G59:H59"/>
    <mergeCell ref="C54:F54"/>
    <mergeCell ref="C55:F55"/>
    <mergeCell ref="C56:F56"/>
    <mergeCell ref="G54:H54"/>
    <mergeCell ref="G55:H55"/>
    <mergeCell ref="G56:H56"/>
    <mergeCell ref="B50:B57"/>
    <mergeCell ref="B58:B62"/>
    <mergeCell ref="G44:H44"/>
    <mergeCell ref="G45:H45"/>
    <mergeCell ref="G46:H46"/>
    <mergeCell ref="G47:H47"/>
    <mergeCell ref="C60:F60"/>
    <mergeCell ref="C61:F61"/>
    <mergeCell ref="C62:F62"/>
    <mergeCell ref="G60:H60"/>
    <mergeCell ref="G61:H61"/>
    <mergeCell ref="G62:H62"/>
    <mergeCell ref="C57:F57"/>
    <mergeCell ref="C58:F58"/>
    <mergeCell ref="C59:F59"/>
    <mergeCell ref="G57:H57"/>
    <mergeCell ref="Q2:R2"/>
    <mergeCell ref="B42:D42"/>
    <mergeCell ref="B43:D43"/>
    <mergeCell ref="C44:F44"/>
    <mergeCell ref="R44:T44"/>
    <mergeCell ref="B44:B49"/>
    <mergeCell ref="C47:F47"/>
    <mergeCell ref="C48:E48"/>
    <mergeCell ref="C49:F49"/>
    <mergeCell ref="G48:H48"/>
    <mergeCell ref="G49:H49"/>
    <mergeCell ref="K46:N46"/>
    <mergeCell ref="K47:N47"/>
    <mergeCell ref="K48:M48"/>
    <mergeCell ref="E42:H42"/>
    <mergeCell ref="J42:L42"/>
    <mergeCell ref="V44:X44"/>
    <mergeCell ref="R45:T45"/>
    <mergeCell ref="C46:F46"/>
    <mergeCell ref="J44:J49"/>
    <mergeCell ref="K44:N44"/>
    <mergeCell ref="K45:N45"/>
    <mergeCell ref="V45:Z45"/>
    <mergeCell ref="A1:F1"/>
    <mergeCell ref="M42:P42"/>
    <mergeCell ref="J43:L43"/>
    <mergeCell ref="C45:F45"/>
    <mergeCell ref="K49:N49"/>
  </mergeCells>
  <dataValidations count="3">
    <dataValidation type="list" allowBlank="1" showInputMessage="1" showErrorMessage="1" sqref="B43:D43">
      <formula1>$AC$3:$AC$22</formula1>
    </dataValidation>
    <dataValidation type="list" allowBlank="1" showInputMessage="1" showErrorMessage="1" sqref="AC3:AC17">
      <formula1>$AC$3:$AC$17</formula1>
    </dataValidation>
    <dataValidation type="list" allowBlank="1" showInputMessage="1" showErrorMessage="1" sqref="J43:L43">
      <formula1>$AC$25:$AC$41</formula1>
    </dataValidation>
  </dataValidations>
  <pageMargins left="0.23622047244094491" right="0.23622047244094491" top="0.35433070866141736" bottom="0.35433070866141736" header="0" footer="0"/>
  <pageSetup orientation="landscape" horizontalDpi="4294967294" r:id="rId1"/>
  <ignoredErrors>
    <ignoredError sqref="R3:R38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opLeftCell="A10" zoomScaleNormal="100" workbookViewId="0">
      <selection activeCell="A28" sqref="A28"/>
    </sheetView>
  </sheetViews>
  <sheetFormatPr defaultRowHeight="12.75" x14ac:dyDescent="0.2"/>
  <cols>
    <col min="1" max="1" width="35.28515625" customWidth="1"/>
    <col min="2" max="2" width="11.7109375" bestFit="1" customWidth="1"/>
    <col min="3" max="3" width="13.7109375" bestFit="1" customWidth="1"/>
    <col min="4" max="4" width="11.7109375" bestFit="1" customWidth="1"/>
    <col min="5" max="5" width="11.140625" bestFit="1" customWidth="1"/>
    <col min="6" max="6" width="12" customWidth="1"/>
    <col min="7" max="7" width="11.5703125" bestFit="1" customWidth="1"/>
    <col min="8" max="8" width="0.42578125" hidden="1" customWidth="1"/>
    <col min="9" max="9" width="14.42578125" customWidth="1"/>
    <col min="10" max="10" width="13.5703125" bestFit="1" customWidth="1"/>
    <col min="11" max="11" width="11.7109375" bestFit="1" customWidth="1"/>
    <col min="12" max="12" width="11.140625" bestFit="1" customWidth="1"/>
    <col min="13" max="13" width="1.42578125" customWidth="1"/>
    <col min="14" max="14" width="32.42578125" customWidth="1"/>
    <col min="16" max="16" width="16.7109375" bestFit="1" customWidth="1"/>
  </cols>
  <sheetData>
    <row r="1" spans="1:16" ht="24.75" customHeight="1" thickBot="1" x14ac:dyDescent="0.25">
      <c r="B1" s="1106" t="s">
        <v>501</v>
      </c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503"/>
    </row>
    <row r="2" spans="1:16" ht="27" customHeight="1" thickTop="1" x14ac:dyDescent="0.3">
      <c r="A2" s="450"/>
      <c r="B2" s="646" t="s">
        <v>502</v>
      </c>
      <c r="C2" s="647" t="s">
        <v>503</v>
      </c>
      <c r="D2" s="647"/>
      <c r="E2" s="647" t="s">
        <v>847</v>
      </c>
      <c r="F2" s="647" t="s">
        <v>744</v>
      </c>
      <c r="G2" s="648" t="s">
        <v>783</v>
      </c>
      <c r="H2" s="649"/>
      <c r="I2" s="650" t="s">
        <v>849</v>
      </c>
      <c r="J2" s="651" t="s">
        <v>504</v>
      </c>
      <c r="K2" s="651" t="s">
        <v>505</v>
      </c>
      <c r="L2" s="652" t="s">
        <v>848</v>
      </c>
      <c r="O2" s="508" t="s">
        <v>766</v>
      </c>
      <c r="P2" s="508" t="s">
        <v>765</v>
      </c>
    </row>
    <row r="3" spans="1:16" ht="16.5" thickBot="1" x14ac:dyDescent="0.25">
      <c r="A3" s="168"/>
      <c r="B3" s="653" t="s">
        <v>758</v>
      </c>
      <c r="C3" s="654" t="s">
        <v>759</v>
      </c>
      <c r="D3" s="654" t="s">
        <v>323</v>
      </c>
      <c r="E3" s="654" t="s">
        <v>760</v>
      </c>
      <c r="F3" s="655" t="s">
        <v>735</v>
      </c>
      <c r="G3" s="656" t="s">
        <v>782</v>
      </c>
      <c r="H3" s="657"/>
      <c r="I3" s="658" t="s">
        <v>761</v>
      </c>
      <c r="J3" s="659" t="s">
        <v>762</v>
      </c>
      <c r="K3" s="659" t="s">
        <v>763</v>
      </c>
      <c r="L3" s="660" t="s">
        <v>764</v>
      </c>
      <c r="O3" s="498" t="s">
        <v>716</v>
      </c>
      <c r="P3" s="495" t="s">
        <v>606</v>
      </c>
    </row>
    <row r="4" spans="1:16" ht="15" customHeight="1" thickTop="1" x14ac:dyDescent="0.2">
      <c r="A4" s="696" t="s">
        <v>802</v>
      </c>
      <c r="B4" s="697" t="s">
        <v>475</v>
      </c>
      <c r="C4" s="504" t="s">
        <v>475</v>
      </c>
      <c r="D4" s="504" t="s">
        <v>772</v>
      </c>
      <c r="E4" s="504" t="s">
        <v>475</v>
      </c>
      <c r="F4" s="504" t="s">
        <v>475</v>
      </c>
      <c r="G4" s="688"/>
      <c r="H4" s="681"/>
      <c r="I4" s="673" t="s">
        <v>772</v>
      </c>
      <c r="J4" s="496" t="s">
        <v>772</v>
      </c>
      <c r="K4" s="496" t="s">
        <v>772</v>
      </c>
      <c r="L4" s="689" t="s">
        <v>475</v>
      </c>
      <c r="N4" s="484" t="s">
        <v>802</v>
      </c>
      <c r="O4" s="498" t="s">
        <v>728</v>
      </c>
      <c r="P4" s="495" t="s">
        <v>602</v>
      </c>
    </row>
    <row r="5" spans="1:16" ht="15" customHeight="1" x14ac:dyDescent="0.2">
      <c r="A5" s="696" t="s">
        <v>749</v>
      </c>
      <c r="B5" s="674" t="s">
        <v>506</v>
      </c>
      <c r="C5" s="494" t="s">
        <v>507</v>
      </c>
      <c r="D5" s="494" t="s">
        <v>508</v>
      </c>
      <c r="E5" s="494" t="s">
        <v>509</v>
      </c>
      <c r="F5" s="494" t="s">
        <v>745</v>
      </c>
      <c r="G5" s="505" t="s">
        <v>784</v>
      </c>
      <c r="H5" s="682"/>
      <c r="I5" s="674" t="s">
        <v>510</v>
      </c>
      <c r="J5" s="494" t="s">
        <v>511</v>
      </c>
      <c r="K5" s="494" t="s">
        <v>512</v>
      </c>
      <c r="L5" s="690" t="s">
        <v>513</v>
      </c>
      <c r="N5" s="484" t="s">
        <v>749</v>
      </c>
      <c r="O5" s="498" t="s">
        <v>715</v>
      </c>
      <c r="P5" s="495" t="s">
        <v>603</v>
      </c>
    </row>
    <row r="6" spans="1:16" ht="15" customHeight="1" x14ac:dyDescent="0.2">
      <c r="A6" s="696" t="s">
        <v>750</v>
      </c>
      <c r="B6" s="698">
        <v>13</v>
      </c>
      <c r="C6" s="497">
        <v>13</v>
      </c>
      <c r="D6" s="497">
        <v>13</v>
      </c>
      <c r="E6" s="496">
        <v>13</v>
      </c>
      <c r="F6" s="496">
        <v>15</v>
      </c>
      <c r="G6" s="500">
        <v>13</v>
      </c>
      <c r="H6" s="507"/>
      <c r="I6" s="675">
        <v>15</v>
      </c>
      <c r="J6" s="496">
        <v>13</v>
      </c>
      <c r="K6" s="496">
        <v>16</v>
      </c>
      <c r="L6" s="691">
        <v>15</v>
      </c>
      <c r="N6" s="484" t="s">
        <v>750</v>
      </c>
      <c r="O6" s="498" t="s">
        <v>741</v>
      </c>
      <c r="P6" s="495" t="s">
        <v>736</v>
      </c>
    </row>
    <row r="7" spans="1:16" ht="15" customHeight="1" x14ac:dyDescent="0.2">
      <c r="A7" s="696" t="s">
        <v>751</v>
      </c>
      <c r="B7" s="674">
        <v>16</v>
      </c>
      <c r="C7" s="494">
        <v>17</v>
      </c>
      <c r="D7" s="494">
        <v>16</v>
      </c>
      <c r="E7" s="494">
        <v>16</v>
      </c>
      <c r="F7" s="494">
        <v>16</v>
      </c>
      <c r="G7" s="505">
        <v>15</v>
      </c>
      <c r="H7" s="682"/>
      <c r="I7" s="674">
        <v>17</v>
      </c>
      <c r="J7" s="494">
        <v>17</v>
      </c>
      <c r="K7" s="494">
        <v>16</v>
      </c>
      <c r="L7" s="690">
        <v>16</v>
      </c>
      <c r="N7" s="484" t="s">
        <v>751</v>
      </c>
      <c r="O7" s="498" t="s">
        <v>737</v>
      </c>
      <c r="P7" s="495" t="s">
        <v>748</v>
      </c>
    </row>
    <row r="8" spans="1:16" ht="15" customHeight="1" x14ac:dyDescent="0.2">
      <c r="A8" s="696" t="s">
        <v>752</v>
      </c>
      <c r="B8" s="698" t="s">
        <v>773</v>
      </c>
      <c r="C8" s="497" t="s">
        <v>774</v>
      </c>
      <c r="D8" s="497" t="s">
        <v>775</v>
      </c>
      <c r="E8" s="496" t="s">
        <v>776</v>
      </c>
      <c r="F8" s="496" t="s">
        <v>781</v>
      </c>
      <c r="G8" s="501"/>
      <c r="H8" s="683"/>
      <c r="I8" s="675" t="s">
        <v>777</v>
      </c>
      <c r="J8" s="496" t="s">
        <v>778</v>
      </c>
      <c r="K8" s="496" t="s">
        <v>779</v>
      </c>
      <c r="L8" s="691" t="s">
        <v>780</v>
      </c>
      <c r="N8" s="484" t="s">
        <v>752</v>
      </c>
      <c r="O8" s="498" t="s">
        <v>724</v>
      </c>
      <c r="P8" s="495" t="s">
        <v>731</v>
      </c>
    </row>
    <row r="9" spans="1:16" ht="15" customHeight="1" x14ac:dyDescent="0.2">
      <c r="A9" s="696" t="s">
        <v>771</v>
      </c>
      <c r="B9" s="674" t="s">
        <v>882</v>
      </c>
      <c r="C9" s="494" t="s">
        <v>883</v>
      </c>
      <c r="D9" s="494" t="s">
        <v>882</v>
      </c>
      <c r="E9" s="494" t="s">
        <v>882</v>
      </c>
      <c r="F9" s="494" t="s">
        <v>884</v>
      </c>
      <c r="G9" s="505"/>
      <c r="H9" s="682"/>
      <c r="I9" s="674" t="s">
        <v>883</v>
      </c>
      <c r="J9" s="494" t="s">
        <v>885</v>
      </c>
      <c r="K9" s="494" t="s">
        <v>884</v>
      </c>
      <c r="L9" s="690" t="s">
        <v>886</v>
      </c>
      <c r="N9" s="484" t="s">
        <v>771</v>
      </c>
      <c r="O9" s="498" t="s">
        <v>868</v>
      </c>
      <c r="P9" s="495" t="s">
        <v>867</v>
      </c>
    </row>
    <row r="10" spans="1:16" ht="15" customHeight="1" x14ac:dyDescent="0.2">
      <c r="A10" s="696" t="s">
        <v>767</v>
      </c>
      <c r="B10" s="698" t="s">
        <v>514</v>
      </c>
      <c r="C10" s="497" t="s">
        <v>515</v>
      </c>
      <c r="D10" s="497" t="s">
        <v>516</v>
      </c>
      <c r="E10" s="496" t="s">
        <v>517</v>
      </c>
      <c r="F10" s="496" t="s">
        <v>515</v>
      </c>
      <c r="G10" s="500"/>
      <c r="H10" s="507"/>
      <c r="I10" s="675" t="s">
        <v>518</v>
      </c>
      <c r="J10" s="496" t="s">
        <v>519</v>
      </c>
      <c r="K10" s="496" t="s">
        <v>515</v>
      </c>
      <c r="L10" s="691" t="s">
        <v>518</v>
      </c>
      <c r="N10" s="484" t="s">
        <v>767</v>
      </c>
      <c r="O10" s="498" t="s">
        <v>727</v>
      </c>
      <c r="P10" s="495" t="s">
        <v>337</v>
      </c>
    </row>
    <row r="11" spans="1:16" ht="15" customHeight="1" x14ac:dyDescent="0.2">
      <c r="A11" s="696" t="s">
        <v>753</v>
      </c>
      <c r="B11" s="676" t="s">
        <v>166</v>
      </c>
      <c r="C11" s="640" t="s">
        <v>421</v>
      </c>
      <c r="D11" s="640" t="s">
        <v>166</v>
      </c>
      <c r="E11" s="640" t="s">
        <v>166</v>
      </c>
      <c r="F11" s="640" t="s">
        <v>166</v>
      </c>
      <c r="G11" s="641"/>
      <c r="H11" s="684"/>
      <c r="I11" s="676" t="s">
        <v>475</v>
      </c>
      <c r="J11" s="640" t="s">
        <v>166</v>
      </c>
      <c r="K11" s="640" t="s">
        <v>166</v>
      </c>
      <c r="L11" s="692" t="s">
        <v>475</v>
      </c>
      <c r="N11" s="484" t="s">
        <v>753</v>
      </c>
      <c r="O11" s="498" t="s">
        <v>721</v>
      </c>
      <c r="P11" s="495" t="s">
        <v>712</v>
      </c>
    </row>
    <row r="12" spans="1:16" ht="15" customHeight="1" x14ac:dyDescent="0.2">
      <c r="A12" s="696" t="s">
        <v>754</v>
      </c>
      <c r="B12" s="677" t="s">
        <v>475</v>
      </c>
      <c r="C12" s="644" t="s">
        <v>171</v>
      </c>
      <c r="D12" s="644" t="s">
        <v>769</v>
      </c>
      <c r="E12" s="644" t="s">
        <v>475</v>
      </c>
      <c r="F12" s="644" t="s">
        <v>475</v>
      </c>
      <c r="G12" s="645" t="s">
        <v>475</v>
      </c>
      <c r="H12" s="685"/>
      <c r="I12" s="677" t="s">
        <v>769</v>
      </c>
      <c r="J12" s="644" t="s">
        <v>475</v>
      </c>
      <c r="K12" s="644" t="s">
        <v>475</v>
      </c>
      <c r="L12" s="693" t="s">
        <v>853</v>
      </c>
      <c r="N12" s="484" t="s">
        <v>754</v>
      </c>
      <c r="O12" s="498" t="s">
        <v>738</v>
      </c>
      <c r="P12" s="495" t="s">
        <v>796</v>
      </c>
    </row>
    <row r="13" spans="1:16" ht="15" customHeight="1" x14ac:dyDescent="0.2">
      <c r="A13" s="696" t="s">
        <v>755</v>
      </c>
      <c r="B13" s="678" t="s">
        <v>426</v>
      </c>
      <c r="C13" s="642" t="s">
        <v>404</v>
      </c>
      <c r="D13" s="642" t="s">
        <v>522</v>
      </c>
      <c r="E13" s="642" t="s">
        <v>522</v>
      </c>
      <c r="F13" s="642" t="s">
        <v>522</v>
      </c>
      <c r="G13" s="643" t="s">
        <v>404</v>
      </c>
      <c r="H13" s="686"/>
      <c r="I13" s="678" t="s">
        <v>404</v>
      </c>
      <c r="J13" s="642" t="s">
        <v>404</v>
      </c>
      <c r="K13" s="642" t="s">
        <v>522</v>
      </c>
      <c r="L13" s="694" t="s">
        <v>404</v>
      </c>
      <c r="N13" s="484" t="s">
        <v>755</v>
      </c>
      <c r="O13" s="498" t="s">
        <v>733</v>
      </c>
      <c r="P13" s="495" t="s">
        <v>639</v>
      </c>
    </row>
    <row r="14" spans="1:16" ht="15" customHeight="1" x14ac:dyDescent="0.2">
      <c r="A14" s="696" t="s">
        <v>756</v>
      </c>
      <c r="B14" s="698" t="s">
        <v>171</v>
      </c>
      <c r="C14" s="497" t="s">
        <v>171</v>
      </c>
      <c r="D14" s="497" t="s">
        <v>171</v>
      </c>
      <c r="E14" s="496" t="s">
        <v>171</v>
      </c>
      <c r="F14" s="496" t="s">
        <v>770</v>
      </c>
      <c r="G14" s="500" t="s">
        <v>171</v>
      </c>
      <c r="H14" s="507"/>
      <c r="I14" s="675" t="s">
        <v>171</v>
      </c>
      <c r="J14" s="496" t="s">
        <v>171</v>
      </c>
      <c r="K14" s="496" t="s">
        <v>171</v>
      </c>
      <c r="L14" s="691" t="s">
        <v>171</v>
      </c>
      <c r="N14" s="484" t="s">
        <v>756</v>
      </c>
      <c r="O14" s="498" t="s">
        <v>729</v>
      </c>
      <c r="P14" s="495" t="s">
        <v>338</v>
      </c>
    </row>
    <row r="15" spans="1:16" ht="15" customHeight="1" x14ac:dyDescent="0.2">
      <c r="A15" s="696" t="s">
        <v>757</v>
      </c>
      <c r="B15" s="674" t="s">
        <v>166</v>
      </c>
      <c r="C15" s="494" t="s">
        <v>166</v>
      </c>
      <c r="D15" s="494" t="s">
        <v>166</v>
      </c>
      <c r="E15" s="494" t="s">
        <v>166</v>
      </c>
      <c r="F15" s="494" t="s">
        <v>166</v>
      </c>
      <c r="G15" s="505"/>
      <c r="H15" s="682"/>
      <c r="I15" s="674" t="s">
        <v>166</v>
      </c>
      <c r="J15" s="494" t="s">
        <v>475</v>
      </c>
      <c r="K15" s="494" t="s">
        <v>166</v>
      </c>
      <c r="L15" s="690" t="s">
        <v>475</v>
      </c>
      <c r="N15" s="484" t="s">
        <v>757</v>
      </c>
      <c r="O15" s="498" t="s">
        <v>719</v>
      </c>
      <c r="P15" s="495" t="s">
        <v>608</v>
      </c>
    </row>
    <row r="16" spans="1:16" ht="30" customHeight="1" x14ac:dyDescent="0.2">
      <c r="A16" s="484" t="s">
        <v>800</v>
      </c>
      <c r="B16" s="698" t="s">
        <v>797</v>
      </c>
      <c r="C16" s="497" t="s">
        <v>797</v>
      </c>
      <c r="D16" s="497" t="s">
        <v>799</v>
      </c>
      <c r="E16" s="496" t="s">
        <v>166</v>
      </c>
      <c r="F16" s="497" t="s">
        <v>798</v>
      </c>
      <c r="G16" s="500" t="s">
        <v>166</v>
      </c>
      <c r="H16" s="507"/>
      <c r="I16" s="675" t="s">
        <v>166</v>
      </c>
      <c r="J16" s="496" t="s">
        <v>421</v>
      </c>
      <c r="K16" s="496" t="s">
        <v>475</v>
      </c>
      <c r="L16" s="691" t="s">
        <v>421</v>
      </c>
      <c r="N16" s="484" t="s">
        <v>839</v>
      </c>
      <c r="O16" s="498" t="s">
        <v>739</v>
      </c>
      <c r="P16" s="495" t="s">
        <v>732</v>
      </c>
    </row>
    <row r="17" spans="1:16" ht="15" customHeight="1" x14ac:dyDescent="0.2">
      <c r="A17" s="484" t="s">
        <v>801</v>
      </c>
      <c r="B17" s="679" t="s">
        <v>523</v>
      </c>
      <c r="C17" s="499" t="s">
        <v>523</v>
      </c>
      <c r="D17" s="499" t="s">
        <v>523</v>
      </c>
      <c r="E17" s="499" t="s">
        <v>523</v>
      </c>
      <c r="F17" s="499" t="s">
        <v>521</v>
      </c>
      <c r="G17" s="506" t="s">
        <v>521</v>
      </c>
      <c r="H17" s="687"/>
      <c r="I17" s="679" t="s">
        <v>523</v>
      </c>
      <c r="J17" s="499" t="s">
        <v>523</v>
      </c>
      <c r="K17" s="499" t="s">
        <v>523</v>
      </c>
      <c r="L17" s="695" t="s">
        <v>523</v>
      </c>
      <c r="N17" s="669" t="s">
        <v>838</v>
      </c>
      <c r="O17" s="498" t="s">
        <v>718</v>
      </c>
      <c r="P17" s="495" t="s">
        <v>742</v>
      </c>
    </row>
    <row r="18" spans="1:16" ht="15" customHeight="1" x14ac:dyDescent="0.2">
      <c r="A18" s="623"/>
      <c r="B18" s="671" t="s">
        <v>603</v>
      </c>
      <c r="C18" s="671" t="s">
        <v>608</v>
      </c>
      <c r="D18" s="671" t="s">
        <v>881</v>
      </c>
      <c r="E18" s="671" t="s">
        <v>603</v>
      </c>
      <c r="F18" s="671" t="s">
        <v>746</v>
      </c>
      <c r="G18" s="672" t="s">
        <v>788</v>
      </c>
      <c r="H18" s="672"/>
      <c r="I18" s="680" t="s">
        <v>279</v>
      </c>
      <c r="J18" s="671" t="s">
        <v>732</v>
      </c>
      <c r="K18" s="671" t="s">
        <v>340</v>
      </c>
      <c r="L18" s="709" t="s">
        <v>338</v>
      </c>
      <c r="M18" s="35"/>
      <c r="N18" s="632"/>
      <c r="O18" s="498" t="s">
        <v>730</v>
      </c>
      <c r="P18" s="495" t="s">
        <v>49</v>
      </c>
    </row>
    <row r="19" spans="1:16" ht="15" customHeight="1" x14ac:dyDescent="0.2">
      <c r="A19" s="623"/>
      <c r="B19" s="671" t="s">
        <v>343</v>
      </c>
      <c r="C19" s="671" t="s">
        <v>341</v>
      </c>
      <c r="D19" s="671" t="s">
        <v>341</v>
      </c>
      <c r="E19" s="671" t="s">
        <v>341</v>
      </c>
      <c r="F19" s="671" t="s">
        <v>768</v>
      </c>
      <c r="G19" s="672" t="s">
        <v>786</v>
      </c>
      <c r="H19" s="672"/>
      <c r="I19" s="680" t="s">
        <v>344</v>
      </c>
      <c r="J19" s="680" t="s">
        <v>607</v>
      </c>
      <c r="K19" s="671" t="s">
        <v>796</v>
      </c>
      <c r="L19" s="709" t="s">
        <v>794</v>
      </c>
      <c r="M19" s="35"/>
      <c r="N19" s="632"/>
      <c r="O19" s="498" t="s">
        <v>723</v>
      </c>
      <c r="P19" s="495" t="s">
        <v>340</v>
      </c>
    </row>
    <row r="20" spans="1:16" ht="15" customHeight="1" x14ac:dyDescent="0.2">
      <c r="A20" s="624"/>
      <c r="B20" s="671" t="s">
        <v>866</v>
      </c>
      <c r="C20" s="671" t="s">
        <v>603</v>
      </c>
      <c r="D20" s="671" t="s">
        <v>606</v>
      </c>
      <c r="E20" s="671" t="s">
        <v>49</v>
      </c>
      <c r="F20" s="671" t="s">
        <v>747</v>
      </c>
      <c r="G20" s="672" t="s">
        <v>787</v>
      </c>
      <c r="H20" s="672"/>
      <c r="I20" s="680" t="s">
        <v>607</v>
      </c>
      <c r="J20" s="671" t="s">
        <v>639</v>
      </c>
      <c r="K20" s="671" t="s">
        <v>337</v>
      </c>
      <c r="L20" s="709" t="s">
        <v>795</v>
      </c>
      <c r="M20" s="35"/>
      <c r="N20" s="630"/>
      <c r="O20" s="498" t="s">
        <v>792</v>
      </c>
      <c r="P20" s="495" t="s">
        <v>795</v>
      </c>
    </row>
    <row r="21" spans="1:16" ht="15" customHeight="1" x14ac:dyDescent="0.2">
      <c r="A21" s="625" t="s">
        <v>803</v>
      </c>
      <c r="B21" s="671" t="s">
        <v>880</v>
      </c>
      <c r="C21" s="671" t="s">
        <v>605</v>
      </c>
      <c r="D21" s="671" t="s">
        <v>605</v>
      </c>
      <c r="E21" s="671" t="s">
        <v>881</v>
      </c>
      <c r="F21" s="671" t="s">
        <v>734</v>
      </c>
      <c r="G21" s="672" t="s">
        <v>791</v>
      </c>
      <c r="H21" s="672"/>
      <c r="I21" s="680" t="s">
        <v>604</v>
      </c>
      <c r="J21" s="671" t="s">
        <v>748</v>
      </c>
      <c r="K21" s="671" t="s">
        <v>748</v>
      </c>
      <c r="L21" s="709" t="s">
        <v>279</v>
      </c>
      <c r="M21" s="35"/>
      <c r="N21" s="633" t="s">
        <v>803</v>
      </c>
      <c r="O21" s="498" t="s">
        <v>726</v>
      </c>
      <c r="P21" s="495" t="s">
        <v>740</v>
      </c>
    </row>
    <row r="22" spans="1:16" ht="15" customHeight="1" x14ac:dyDescent="0.2">
      <c r="A22" s="639"/>
      <c r="B22" s="671" t="s">
        <v>742</v>
      </c>
      <c r="C22" s="671" t="s">
        <v>867</v>
      </c>
      <c r="D22" s="671" t="s">
        <v>340</v>
      </c>
      <c r="E22" s="671"/>
      <c r="F22" s="671"/>
      <c r="G22" s="672" t="s">
        <v>785</v>
      </c>
      <c r="H22" s="672"/>
      <c r="I22" s="1122" t="s">
        <v>920</v>
      </c>
      <c r="J22" s="671" t="s">
        <v>279</v>
      </c>
      <c r="K22" s="671" t="s">
        <v>279</v>
      </c>
      <c r="L22" s="709"/>
      <c r="M22" s="35"/>
      <c r="N22" s="35"/>
      <c r="O22" s="498" t="s">
        <v>720</v>
      </c>
      <c r="P22" s="495" t="s">
        <v>341</v>
      </c>
    </row>
    <row r="23" spans="1:16" ht="15" customHeight="1" x14ac:dyDescent="0.2">
      <c r="A23" s="623"/>
      <c r="B23" s="671" t="s">
        <v>606</v>
      </c>
      <c r="C23" s="671" t="s">
        <v>712</v>
      </c>
      <c r="D23" s="671"/>
      <c r="E23" s="671"/>
      <c r="F23" s="671"/>
      <c r="G23" s="672" t="s">
        <v>789</v>
      </c>
      <c r="H23" s="672"/>
      <c r="I23" s="1123"/>
      <c r="J23" s="671" t="s">
        <v>740</v>
      </c>
      <c r="K23" s="671" t="s">
        <v>740</v>
      </c>
      <c r="L23" s="709"/>
      <c r="M23" s="35"/>
      <c r="N23" s="35"/>
      <c r="O23" s="498" t="s">
        <v>743</v>
      </c>
      <c r="P23" s="495" t="s">
        <v>634</v>
      </c>
    </row>
    <row r="24" spans="1:16" ht="15" customHeight="1" x14ac:dyDescent="0.2">
      <c r="A24" s="623"/>
      <c r="B24" s="719" t="s">
        <v>605</v>
      </c>
      <c r="C24" s="716"/>
      <c r="D24" s="716"/>
      <c r="E24" s="716"/>
      <c r="F24" s="716"/>
      <c r="G24" s="717" t="s">
        <v>790</v>
      </c>
      <c r="H24" s="717"/>
      <c r="I24" s="1123"/>
      <c r="J24" s="716"/>
      <c r="K24" s="716"/>
      <c r="L24" s="718"/>
      <c r="M24" s="35"/>
      <c r="N24" s="35"/>
      <c r="O24" s="498" t="s">
        <v>722</v>
      </c>
      <c r="P24" s="495" t="s">
        <v>605</v>
      </c>
    </row>
    <row r="25" spans="1:16" ht="15" customHeight="1" thickBot="1" x14ac:dyDescent="0.25">
      <c r="A25" s="623"/>
      <c r="B25" s="719"/>
      <c r="C25" s="716"/>
      <c r="D25" s="716"/>
      <c r="E25" s="716"/>
      <c r="F25" s="716"/>
      <c r="G25" s="717" t="s">
        <v>747</v>
      </c>
      <c r="H25" s="717"/>
      <c r="I25" s="1124"/>
      <c r="J25" s="716"/>
      <c r="K25" s="716"/>
      <c r="L25" s="718"/>
      <c r="M25" s="35"/>
      <c r="N25" s="35"/>
      <c r="O25" s="498" t="s">
        <v>725</v>
      </c>
      <c r="P25" s="495" t="s">
        <v>279</v>
      </c>
    </row>
    <row r="26" spans="1:16" ht="15" customHeight="1" thickTop="1" x14ac:dyDescent="0.2">
      <c r="A26" s="623"/>
      <c r="B26" s="1107" t="s">
        <v>897</v>
      </c>
      <c r="C26" s="1108"/>
      <c r="D26" s="1108"/>
      <c r="E26" s="1108"/>
      <c r="F26" s="1108"/>
      <c r="G26" s="1108"/>
      <c r="H26" s="1108"/>
      <c r="I26" s="1108"/>
      <c r="J26" s="1108"/>
      <c r="K26" s="1108"/>
      <c r="L26" s="1109"/>
      <c r="M26" s="35"/>
      <c r="N26" s="35"/>
      <c r="O26" s="498" t="s">
        <v>793</v>
      </c>
      <c r="P26" s="495" t="s">
        <v>794</v>
      </c>
    </row>
    <row r="27" spans="1:16" ht="15" customHeight="1" x14ac:dyDescent="0.2">
      <c r="A27" s="623"/>
      <c r="B27" s="1116" t="s">
        <v>901</v>
      </c>
      <c r="C27" s="1110" t="s">
        <v>900</v>
      </c>
      <c r="D27" s="1110" t="s">
        <v>902</v>
      </c>
      <c r="E27" s="1110" t="s">
        <v>898</v>
      </c>
      <c r="F27" s="1110" t="s">
        <v>899</v>
      </c>
      <c r="G27" s="1113" t="s">
        <v>907</v>
      </c>
      <c r="H27" s="717"/>
      <c r="I27" s="1110" t="s">
        <v>905</v>
      </c>
      <c r="J27" s="1110" t="s">
        <v>903</v>
      </c>
      <c r="K27" s="1110" t="s">
        <v>904</v>
      </c>
      <c r="L27" s="1119" t="s">
        <v>906</v>
      </c>
      <c r="M27" s="35"/>
      <c r="N27" s="35"/>
      <c r="O27" s="498" t="s">
        <v>865</v>
      </c>
      <c r="P27" s="495" t="s">
        <v>866</v>
      </c>
    </row>
    <row r="28" spans="1:16" ht="15" customHeight="1" x14ac:dyDescent="0.2">
      <c r="A28" s="623"/>
      <c r="B28" s="1117"/>
      <c r="C28" s="1111"/>
      <c r="D28" s="1111"/>
      <c r="E28" s="1111"/>
      <c r="F28" s="1111"/>
      <c r="G28" s="1114"/>
      <c r="H28" s="717"/>
      <c r="I28" s="1111"/>
      <c r="J28" s="1111"/>
      <c r="K28" s="1111"/>
      <c r="L28" s="1120"/>
      <c r="M28" s="35"/>
      <c r="N28" s="35"/>
      <c r="O28" s="498" t="s">
        <v>717</v>
      </c>
      <c r="P28" s="495" t="s">
        <v>343</v>
      </c>
    </row>
    <row r="29" spans="1:16" ht="15" customHeight="1" x14ac:dyDescent="0.2">
      <c r="A29" s="623"/>
      <c r="B29" s="1117"/>
      <c r="C29" s="1111"/>
      <c r="D29" s="1111"/>
      <c r="E29" s="1111"/>
      <c r="F29" s="1111"/>
      <c r="G29" s="1114"/>
      <c r="H29" s="717"/>
      <c r="I29" s="1111"/>
      <c r="J29" s="1111"/>
      <c r="K29" s="1111"/>
      <c r="L29" s="1120"/>
      <c r="M29" s="35"/>
      <c r="N29" s="35"/>
      <c r="O29" s="498" t="s">
        <v>804</v>
      </c>
      <c r="P29" s="495" t="s">
        <v>344</v>
      </c>
    </row>
    <row r="30" spans="1:16" ht="15" customHeight="1" x14ac:dyDescent="0.2">
      <c r="A30" s="623"/>
      <c r="B30" s="1117"/>
      <c r="C30" s="1111"/>
      <c r="D30" s="1111"/>
      <c r="E30" s="1111"/>
      <c r="F30" s="1111"/>
      <c r="G30" s="1114"/>
      <c r="H30" s="717"/>
      <c r="I30" s="1111"/>
      <c r="J30" s="1111"/>
      <c r="K30" s="1111"/>
      <c r="L30" s="1120"/>
      <c r="M30" s="35"/>
      <c r="N30" s="35"/>
    </row>
    <row r="31" spans="1:16" ht="15" customHeight="1" x14ac:dyDescent="0.2">
      <c r="A31" s="623"/>
      <c r="B31" s="1117"/>
      <c r="C31" s="1111"/>
      <c r="D31" s="1111"/>
      <c r="E31" s="1111"/>
      <c r="F31" s="1111"/>
      <c r="G31" s="1114"/>
      <c r="H31" s="717"/>
      <c r="I31" s="1111"/>
      <c r="J31" s="1111"/>
      <c r="K31" s="1111"/>
      <c r="L31" s="1120"/>
      <c r="M31" s="35"/>
      <c r="N31" s="35"/>
    </row>
    <row r="32" spans="1:16" ht="15" customHeight="1" x14ac:dyDescent="0.2">
      <c r="A32" s="623"/>
      <c r="B32" s="1117"/>
      <c r="C32" s="1111"/>
      <c r="D32" s="1111"/>
      <c r="E32" s="1111"/>
      <c r="F32" s="1111"/>
      <c r="G32" s="1114"/>
      <c r="H32" s="717"/>
      <c r="I32" s="1111"/>
      <c r="J32" s="1111"/>
      <c r="K32" s="1111"/>
      <c r="L32" s="1120"/>
      <c r="M32" s="35"/>
      <c r="N32" s="35"/>
    </row>
    <row r="33" spans="1:14" ht="15" customHeight="1" x14ac:dyDescent="0.2">
      <c r="A33" s="623"/>
      <c r="B33" s="1117"/>
      <c r="C33" s="1111"/>
      <c r="D33" s="1111"/>
      <c r="E33" s="1111"/>
      <c r="F33" s="1111"/>
      <c r="G33" s="1114"/>
      <c r="H33" s="717"/>
      <c r="I33" s="1111"/>
      <c r="J33" s="1111"/>
      <c r="K33" s="1111"/>
      <c r="L33" s="1120"/>
      <c r="M33" s="35"/>
      <c r="N33" s="35"/>
    </row>
    <row r="34" spans="1:14" ht="15" customHeight="1" x14ac:dyDescent="0.2">
      <c r="A34" s="623"/>
      <c r="B34" s="1117"/>
      <c r="C34" s="1111"/>
      <c r="D34" s="1111"/>
      <c r="E34" s="1111"/>
      <c r="F34" s="1111"/>
      <c r="G34" s="1114"/>
      <c r="H34" s="717"/>
      <c r="I34" s="1111"/>
      <c r="J34" s="1111"/>
      <c r="K34" s="1111"/>
      <c r="L34" s="1120"/>
      <c r="M34" s="35"/>
      <c r="N34" s="35"/>
    </row>
    <row r="35" spans="1:14" ht="15" customHeight="1" x14ac:dyDescent="0.2">
      <c r="A35" s="623"/>
      <c r="B35" s="1118"/>
      <c r="C35" s="1112"/>
      <c r="D35" s="1112"/>
      <c r="E35" s="1112"/>
      <c r="F35" s="1112"/>
      <c r="G35" s="1115"/>
      <c r="H35" s="699"/>
      <c r="I35" s="1112"/>
      <c r="J35" s="1112"/>
      <c r="K35" s="1112"/>
      <c r="L35" s="1121"/>
      <c r="M35" s="35"/>
      <c r="N35" s="35"/>
    </row>
    <row r="36" spans="1:14" ht="15" customHeight="1" x14ac:dyDescent="0.2">
      <c r="A36" s="502" t="s">
        <v>879</v>
      </c>
      <c r="B36" s="628" t="s">
        <v>840</v>
      </c>
      <c r="C36" s="627" t="s">
        <v>851</v>
      </c>
      <c r="D36" s="627" t="s">
        <v>850</v>
      </c>
      <c r="E36" s="627" t="s">
        <v>843</v>
      </c>
      <c r="F36" s="627" t="s">
        <v>845</v>
      </c>
      <c r="G36" s="627" t="s">
        <v>846</v>
      </c>
      <c r="H36" s="627"/>
      <c r="I36" s="627" t="s">
        <v>841</v>
      </c>
      <c r="J36" s="626" t="s">
        <v>852</v>
      </c>
      <c r="K36" s="626" t="s">
        <v>844</v>
      </c>
      <c r="L36" s="627" t="s">
        <v>842</v>
      </c>
      <c r="N36" s="484" t="s">
        <v>879</v>
      </c>
    </row>
    <row r="38" spans="1:14" ht="15" customHeight="1" x14ac:dyDescent="0.2">
      <c r="B38" s="1103" t="s">
        <v>857</v>
      </c>
      <c r="C38" s="1103"/>
      <c r="D38" s="1105" t="s">
        <v>887</v>
      </c>
      <c r="E38" s="1105"/>
      <c r="F38" s="1105"/>
    </row>
    <row r="39" spans="1:14" ht="15" customHeight="1" x14ac:dyDescent="0.2">
      <c r="B39" s="1104" t="s">
        <v>858</v>
      </c>
      <c r="C39" s="1104"/>
      <c r="D39" s="701" t="s">
        <v>869</v>
      </c>
      <c r="E39" s="702" t="s">
        <v>859</v>
      </c>
      <c r="F39" s="701" t="s">
        <v>870</v>
      </c>
      <c r="I39" s="35"/>
      <c r="J39" s="700"/>
    </row>
    <row r="40" spans="1:14" ht="15" customHeight="1" x14ac:dyDescent="0.2">
      <c r="B40" s="636" t="s">
        <v>94</v>
      </c>
      <c r="C40" s="661" t="s">
        <v>860</v>
      </c>
      <c r="D40" s="703"/>
      <c r="E40" s="704"/>
      <c r="F40" s="703"/>
      <c r="I40" s="35"/>
      <c r="J40" s="700"/>
    </row>
    <row r="41" spans="1:14" ht="15" customHeight="1" x14ac:dyDescent="0.2">
      <c r="B41" s="637" t="s">
        <v>861</v>
      </c>
      <c r="C41" s="23"/>
      <c r="D41" s="705">
        <v>193</v>
      </c>
      <c r="E41" s="706">
        <v>216</v>
      </c>
      <c r="F41" s="705">
        <v>225</v>
      </c>
      <c r="I41" s="35"/>
      <c r="J41" s="700"/>
    </row>
    <row r="42" spans="1:14" ht="15" customHeight="1" x14ac:dyDescent="0.2">
      <c r="B42" s="638" t="s">
        <v>376</v>
      </c>
      <c r="C42" s="662" t="s">
        <v>862</v>
      </c>
      <c r="D42" s="705">
        <v>227</v>
      </c>
      <c r="E42" s="706">
        <v>267</v>
      </c>
      <c r="F42" s="705">
        <v>279</v>
      </c>
      <c r="I42" s="35"/>
      <c r="J42" s="700"/>
    </row>
    <row r="43" spans="1:14" ht="15" customHeight="1" x14ac:dyDescent="0.2">
      <c r="B43" s="637" t="s">
        <v>863</v>
      </c>
      <c r="C43" s="23"/>
      <c r="D43" s="705">
        <v>249</v>
      </c>
      <c r="E43" s="706">
        <v>293</v>
      </c>
      <c r="F43" s="705">
        <v>306</v>
      </c>
      <c r="I43" s="35"/>
      <c r="J43" s="700"/>
    </row>
    <row r="44" spans="1:14" ht="15" customHeight="1" x14ac:dyDescent="0.2">
      <c r="B44" s="638" t="s">
        <v>96</v>
      </c>
      <c r="C44" s="662" t="s">
        <v>864</v>
      </c>
      <c r="D44" s="705">
        <v>293</v>
      </c>
      <c r="E44" s="706">
        <v>345</v>
      </c>
      <c r="F44" s="705">
        <v>360</v>
      </c>
      <c r="I44" s="35"/>
      <c r="J44" s="700"/>
    </row>
    <row r="45" spans="1:14" ht="16.5" x14ac:dyDescent="0.2">
      <c r="I45" s="35"/>
      <c r="J45" s="700"/>
    </row>
    <row r="46" spans="1:14" ht="16.5" x14ac:dyDescent="0.2">
      <c r="I46" s="35"/>
      <c r="J46" s="700"/>
    </row>
  </sheetData>
  <sheetProtection sheet="1" objects="1" scenarios="1" formatCells="0"/>
  <sortState ref="I29:J36">
    <sortCondition ref="I29:I36"/>
  </sortState>
  <mergeCells count="16">
    <mergeCell ref="B38:C38"/>
    <mergeCell ref="B39:C39"/>
    <mergeCell ref="D38:F38"/>
    <mergeCell ref="B1:L1"/>
    <mergeCell ref="B26:L26"/>
    <mergeCell ref="I27:I35"/>
    <mergeCell ref="G27:G35"/>
    <mergeCell ref="B27:B35"/>
    <mergeCell ref="L27:L35"/>
    <mergeCell ref="F27:F35"/>
    <mergeCell ref="I22:I25"/>
    <mergeCell ref="C27:C35"/>
    <mergeCell ref="D27:D35"/>
    <mergeCell ref="E27:E35"/>
    <mergeCell ref="J27:J35"/>
    <mergeCell ref="K27:K3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62" fitToHeight="0" orientation="landscape" horizont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33"/>
  </sheetPr>
  <dimension ref="A1:G25"/>
  <sheetViews>
    <sheetView workbookViewId="0">
      <selection activeCell="B27" sqref="B27"/>
    </sheetView>
  </sheetViews>
  <sheetFormatPr defaultRowHeight="12.75" outlineLevelCol="1" x14ac:dyDescent="0.2"/>
  <cols>
    <col min="1" max="1" width="20.85546875" customWidth="1"/>
    <col min="2" max="2" width="31.140625" customWidth="1"/>
    <col min="3" max="3" width="5.140625" customWidth="1"/>
    <col min="5" max="5" width="21.28515625" hidden="1" customWidth="1" outlineLevel="1"/>
    <col min="6" max="6" width="6.85546875" hidden="1" customWidth="1" outlineLevel="1"/>
    <col min="7" max="7" width="9.140625" collapsed="1"/>
  </cols>
  <sheetData>
    <row r="1" spans="1:6" ht="20.25" customHeight="1" x14ac:dyDescent="0.2">
      <c r="A1" s="1125" t="s">
        <v>600</v>
      </c>
      <c r="B1" s="1125"/>
      <c r="C1" s="1125"/>
    </row>
    <row r="2" spans="1:6" ht="11.25" customHeight="1" thickBot="1" x14ac:dyDescent="0.25"/>
    <row r="3" spans="1:6" ht="18.75" customHeight="1" thickTop="1" thickBot="1" x14ac:dyDescent="0.25">
      <c r="A3" s="392" t="s">
        <v>346</v>
      </c>
      <c r="B3" s="393" t="s">
        <v>351</v>
      </c>
      <c r="C3" s="394">
        <f>INDEX(F4:F5,MATCH(B3,E4:E5,0))</f>
        <v>2</v>
      </c>
      <c r="E3" s="395" t="s">
        <v>346</v>
      </c>
    </row>
    <row r="4" spans="1:6" ht="20.25" customHeight="1" thickTop="1" thickBot="1" x14ac:dyDescent="0.3">
      <c r="A4" s="396" t="s">
        <v>348</v>
      </c>
      <c r="B4" s="393" t="s">
        <v>352</v>
      </c>
      <c r="C4" s="394">
        <f>INDEX(F8:F9,MATCH(B4,E8:E9,0))</f>
        <v>2</v>
      </c>
      <c r="E4" s="9" t="s">
        <v>347</v>
      </c>
      <c r="F4" s="3">
        <v>1</v>
      </c>
    </row>
    <row r="5" spans="1:6" ht="21" customHeight="1" thickTop="1" thickBot="1" x14ac:dyDescent="0.3">
      <c r="A5" s="396" t="s">
        <v>350</v>
      </c>
      <c r="B5" s="393">
        <v>3</v>
      </c>
      <c r="C5" s="394">
        <f>INDEX(F12:F14,MATCH(B5,E12:E14,0))</f>
        <v>1</v>
      </c>
      <c r="E5" s="9" t="s">
        <v>351</v>
      </c>
      <c r="F5" s="3">
        <v>2</v>
      </c>
    </row>
    <row r="6" spans="1:6" ht="14.25" customHeight="1" thickTop="1" thickBot="1" x14ac:dyDescent="0.25">
      <c r="C6" s="394">
        <f>SUM(C3:C5)</f>
        <v>5</v>
      </c>
    </row>
    <row r="7" spans="1:6" ht="19.5" customHeight="1" thickTop="1" thickBot="1" x14ac:dyDescent="0.25">
      <c r="B7" s="397" t="str">
        <f>INDEX(E17:E19,MATCH(C6,F17:F19,1))</f>
        <v>MODERATE RISK</v>
      </c>
      <c r="E7" s="395" t="s">
        <v>348</v>
      </c>
    </row>
    <row r="8" spans="1:6" ht="15" customHeight="1" thickTop="1" x14ac:dyDescent="0.2">
      <c r="E8" s="9" t="s">
        <v>349</v>
      </c>
      <c r="F8" s="3">
        <v>1</v>
      </c>
    </row>
    <row r="9" spans="1:6" ht="15" customHeight="1" x14ac:dyDescent="0.2">
      <c r="E9" s="9" t="s">
        <v>352</v>
      </c>
      <c r="F9" s="3">
        <v>2</v>
      </c>
    </row>
    <row r="10" spans="1:6" ht="15" customHeight="1" x14ac:dyDescent="0.2"/>
    <row r="11" spans="1:6" ht="15" customHeight="1" x14ac:dyDescent="0.2">
      <c r="E11" s="135" t="s">
        <v>353</v>
      </c>
    </row>
    <row r="12" spans="1:6" ht="15" customHeight="1" x14ac:dyDescent="0.2">
      <c r="E12" s="2">
        <v>3</v>
      </c>
      <c r="F12" s="3">
        <v>1</v>
      </c>
    </row>
    <row r="13" spans="1:6" ht="15" customHeight="1" x14ac:dyDescent="0.2">
      <c r="E13" s="2">
        <v>2</v>
      </c>
      <c r="F13" s="3">
        <v>2</v>
      </c>
    </row>
    <row r="14" spans="1:6" ht="15" customHeight="1" x14ac:dyDescent="0.2">
      <c r="E14" s="2" t="s">
        <v>354</v>
      </c>
      <c r="F14" s="3">
        <v>3</v>
      </c>
    </row>
    <row r="15" spans="1:6" ht="15" customHeight="1" x14ac:dyDescent="0.2"/>
    <row r="16" spans="1:6" ht="15" customHeight="1" x14ac:dyDescent="0.2">
      <c r="E16" s="395" t="s">
        <v>355</v>
      </c>
    </row>
    <row r="17" spans="2:7" ht="15" customHeight="1" x14ac:dyDescent="0.2">
      <c r="B17" t="s">
        <v>28</v>
      </c>
      <c r="E17" s="2" t="s">
        <v>356</v>
      </c>
      <c r="F17" s="3">
        <v>3</v>
      </c>
    </row>
    <row r="18" spans="2:7" ht="15" customHeight="1" x14ac:dyDescent="0.2">
      <c r="E18" s="2" t="s">
        <v>357</v>
      </c>
      <c r="F18" s="3">
        <v>4</v>
      </c>
    </row>
    <row r="19" spans="2:7" ht="15" customHeight="1" x14ac:dyDescent="0.2">
      <c r="B19" s="35"/>
      <c r="C19" s="35"/>
      <c r="E19" s="2" t="s">
        <v>358</v>
      </c>
      <c r="F19" s="3">
        <v>6</v>
      </c>
    </row>
    <row r="20" spans="2:7" x14ac:dyDescent="0.2">
      <c r="B20" s="35"/>
      <c r="C20" s="35"/>
      <c r="D20" s="35"/>
      <c r="E20" s="35"/>
      <c r="F20" s="35"/>
      <c r="G20" s="35"/>
    </row>
    <row r="21" spans="2:7" x14ac:dyDescent="0.2">
      <c r="B21" s="35"/>
      <c r="C21" s="35"/>
      <c r="D21" s="35"/>
      <c r="G21" s="35"/>
    </row>
    <row r="22" spans="2:7" x14ac:dyDescent="0.2">
      <c r="B22" s="35"/>
      <c r="C22" s="35"/>
      <c r="D22" s="35"/>
      <c r="G22" s="35"/>
    </row>
    <row r="23" spans="2:7" x14ac:dyDescent="0.2">
      <c r="B23" s="35"/>
      <c r="C23" s="35"/>
      <c r="D23" s="35"/>
      <c r="G23" s="35"/>
    </row>
    <row r="24" spans="2:7" x14ac:dyDescent="0.2">
      <c r="B24" s="35"/>
      <c r="C24" s="35"/>
      <c r="D24" s="35"/>
      <c r="G24" s="35"/>
    </row>
    <row r="25" spans="2:7" x14ac:dyDescent="0.2">
      <c r="D25" s="35"/>
      <c r="E25" s="35"/>
      <c r="F25" s="35"/>
      <c r="G25" s="35"/>
    </row>
  </sheetData>
  <sheetProtection sheet="1" objects="1" scenarios="1" formatCells="0"/>
  <mergeCells count="1">
    <mergeCell ref="A1:C1"/>
  </mergeCells>
  <conditionalFormatting sqref="B7">
    <cfRule type="expression" dxfId="1" priority="1">
      <formula>$C$6&gt;5</formula>
    </cfRule>
  </conditionalFormatting>
  <dataValidations count="3">
    <dataValidation type="list" allowBlank="1" showInputMessage="1" showErrorMessage="1" sqref="B5">
      <formula1>$E$12:$E$14</formula1>
    </dataValidation>
    <dataValidation type="list" allowBlank="1" showInputMessage="1" showErrorMessage="1" sqref="B4">
      <formula1>$E$8:$E$9</formula1>
    </dataValidation>
    <dataValidation type="list" allowBlank="1" showInputMessage="1" showErrorMessage="1" sqref="B3">
      <formula1>$E$4:$E$5</formula1>
    </dataValidation>
  </dataValidations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W63"/>
  <sheetViews>
    <sheetView topLeftCell="A2" zoomScale="125" zoomScaleNormal="125" workbookViewId="0">
      <selection activeCell="D12" sqref="D12"/>
    </sheetView>
  </sheetViews>
  <sheetFormatPr defaultRowHeight="14.25" outlineLevelCol="1" x14ac:dyDescent="0.2"/>
  <cols>
    <col min="1" max="1" width="27.85546875" style="447" customWidth="1"/>
    <col min="2" max="2" width="24.42578125" style="447" customWidth="1"/>
    <col min="3" max="3" width="8" style="447" hidden="1" customWidth="1" outlineLevel="1"/>
    <col min="4" max="4" width="8.7109375" style="447" hidden="1" customWidth="1" outlineLevel="1"/>
    <col min="5" max="5" width="8.85546875" style="447" hidden="1" customWidth="1" outlineLevel="1"/>
    <col min="6" max="6" width="10.7109375" style="447" hidden="1" customWidth="1" outlineLevel="1"/>
    <col min="7" max="7" width="15.28515625" style="447" hidden="1" customWidth="1" outlineLevel="1"/>
    <col min="8" max="8" width="5.42578125" style="447" hidden="1" customWidth="1" outlineLevel="1"/>
    <col min="9" max="9" width="11.5703125" style="447" hidden="1" customWidth="1" outlineLevel="1"/>
    <col min="10" max="10" width="10.28515625" style="447" hidden="1" customWidth="1" outlineLevel="1"/>
    <col min="11" max="11" width="11.85546875" style="447" hidden="1" customWidth="1" outlineLevel="1"/>
    <col min="12" max="12" width="29" style="447" hidden="1" customWidth="1" outlineLevel="1"/>
    <col min="13" max="13" width="9.5703125" style="447" hidden="1" customWidth="1" outlineLevel="1"/>
    <col min="14" max="14" width="9" style="447" hidden="1" customWidth="1" outlineLevel="1"/>
    <col min="15" max="15" width="12.28515625" style="447" hidden="1" customWidth="1" outlineLevel="1"/>
    <col min="16" max="22" width="9.140625" style="447" hidden="1" customWidth="1" outlineLevel="1"/>
    <col min="23" max="23" width="9.140625" style="447" collapsed="1"/>
    <col min="24" max="16384" width="9.140625" style="447"/>
  </cols>
  <sheetData>
    <row r="2" spans="1:23" s="399" customFormat="1" ht="35.1" customHeight="1" thickBot="1" x14ac:dyDescent="0.25">
      <c r="A2" s="1130" t="s">
        <v>359</v>
      </c>
      <c r="B2" s="1131"/>
      <c r="C2" s="398"/>
      <c r="F2" s="400" t="s">
        <v>195</v>
      </c>
      <c r="G2" s="401" t="s">
        <v>360</v>
      </c>
      <c r="I2" s="1126" t="s">
        <v>43</v>
      </c>
      <c r="J2" s="1127"/>
      <c r="K2" s="1126" t="s">
        <v>361</v>
      </c>
      <c r="L2" s="1127"/>
      <c r="M2" s="1132" t="s">
        <v>362</v>
      </c>
      <c r="N2" s="1133"/>
      <c r="O2" s="1132" t="s">
        <v>363</v>
      </c>
      <c r="P2" s="1133"/>
    </row>
    <row r="3" spans="1:23" s="399" customFormat="1" ht="18" customHeight="1" thickTop="1" thickBot="1" x14ac:dyDescent="0.25">
      <c r="A3" s="402" t="s">
        <v>364</v>
      </c>
      <c r="B3" s="403">
        <v>16</v>
      </c>
      <c r="C3" s="863">
        <f>INDEX(L3:L9,MATCH(B3,K3:K9,0))</f>
        <v>8</v>
      </c>
      <c r="D3" s="864"/>
      <c r="E3" s="865"/>
      <c r="F3" s="404">
        <v>9</v>
      </c>
      <c r="G3" s="405" t="s">
        <v>366</v>
      </c>
      <c r="I3" s="406" t="s">
        <v>367</v>
      </c>
      <c r="J3" s="407">
        <v>10</v>
      </c>
      <c r="K3" s="406" t="s">
        <v>365</v>
      </c>
      <c r="L3" s="408">
        <v>1</v>
      </c>
      <c r="M3" s="409" t="s">
        <v>368</v>
      </c>
      <c r="N3" s="410">
        <v>1</v>
      </c>
      <c r="O3" s="411" t="s">
        <v>94</v>
      </c>
      <c r="P3" s="410">
        <v>1</v>
      </c>
      <c r="W3" s="412"/>
    </row>
    <row r="4" spans="1:23" s="399" customFormat="1" ht="18" customHeight="1" thickTop="1" thickBot="1" x14ac:dyDescent="0.25">
      <c r="A4" s="413" t="s">
        <v>369</v>
      </c>
      <c r="B4" s="403">
        <v>2.9</v>
      </c>
      <c r="C4" s="866">
        <f>INDEX(N3:N10,MATCH(B4,M3:M10,0))</f>
        <v>8</v>
      </c>
      <c r="D4" s="864"/>
      <c r="E4" s="865"/>
      <c r="F4" s="404">
        <v>10</v>
      </c>
      <c r="G4" s="405" t="s">
        <v>366</v>
      </c>
      <c r="I4" s="406">
        <v>10</v>
      </c>
      <c r="J4" s="407">
        <v>8</v>
      </c>
      <c r="K4" s="406">
        <v>13</v>
      </c>
      <c r="L4" s="414">
        <v>2</v>
      </c>
      <c r="M4" s="409">
        <v>3.4</v>
      </c>
      <c r="N4" s="410">
        <v>2</v>
      </c>
      <c r="O4" s="411" t="s">
        <v>40</v>
      </c>
      <c r="P4" s="410">
        <v>2</v>
      </c>
      <c r="W4" s="412"/>
    </row>
    <row r="5" spans="1:23" s="399" customFormat="1" ht="18" customHeight="1" thickTop="1" thickBot="1" x14ac:dyDescent="0.25">
      <c r="A5" s="413" t="s">
        <v>370</v>
      </c>
      <c r="B5" s="403">
        <v>13</v>
      </c>
      <c r="C5" s="863">
        <f>INDEX(S13:S22,MATCH(B5,R13:R22,0))</f>
        <v>8</v>
      </c>
      <c r="D5" s="864"/>
      <c r="E5" s="865"/>
      <c r="F5" s="404">
        <v>11</v>
      </c>
      <c r="G5" s="405" t="s">
        <v>366</v>
      </c>
      <c r="I5" s="406">
        <v>11</v>
      </c>
      <c r="J5" s="407">
        <v>8</v>
      </c>
      <c r="K5" s="406">
        <v>14</v>
      </c>
      <c r="L5" s="414">
        <v>2</v>
      </c>
      <c r="M5" s="409">
        <v>3.3</v>
      </c>
      <c r="N5" s="410">
        <v>2</v>
      </c>
      <c r="O5" s="411" t="s">
        <v>96</v>
      </c>
      <c r="P5" s="410">
        <v>8</v>
      </c>
      <c r="W5" s="412"/>
    </row>
    <row r="6" spans="1:23" s="399" customFormat="1" ht="18" customHeight="1" thickTop="1" thickBot="1" x14ac:dyDescent="0.25">
      <c r="A6" s="413" t="s">
        <v>372</v>
      </c>
      <c r="B6" s="403">
        <v>50</v>
      </c>
      <c r="C6" s="863">
        <f>INDEX(U13:U29,MATCH(B6,T13:T29,0))</f>
        <v>8</v>
      </c>
      <c r="D6" s="864"/>
      <c r="E6" s="865"/>
      <c r="F6" s="404">
        <v>12</v>
      </c>
      <c r="G6" s="405" t="s">
        <v>366</v>
      </c>
      <c r="I6" s="406">
        <v>12</v>
      </c>
      <c r="J6" s="415">
        <v>8</v>
      </c>
      <c r="K6" s="406">
        <v>15</v>
      </c>
      <c r="L6" s="414">
        <v>8</v>
      </c>
      <c r="M6" s="409">
        <v>3.2</v>
      </c>
      <c r="N6" s="410">
        <v>2</v>
      </c>
      <c r="O6" s="416" t="s">
        <v>374</v>
      </c>
      <c r="P6" s="417">
        <v>10</v>
      </c>
      <c r="W6" s="412"/>
    </row>
    <row r="7" spans="1:23" s="399" customFormat="1" ht="18" customHeight="1" thickTop="1" thickBot="1" x14ac:dyDescent="0.25">
      <c r="A7" s="413" t="s">
        <v>375</v>
      </c>
      <c r="B7" s="403">
        <v>25</v>
      </c>
      <c r="C7" s="863">
        <f>INDEX(J3:J24,MATCH(B7,I3:I24,1))</f>
        <v>8</v>
      </c>
      <c r="D7" s="864"/>
      <c r="E7" s="865"/>
      <c r="F7" s="406">
        <v>13</v>
      </c>
      <c r="G7" s="405" t="s">
        <v>376</v>
      </c>
      <c r="I7" s="406">
        <v>13</v>
      </c>
      <c r="J7" s="415">
        <v>8</v>
      </c>
      <c r="K7" s="406">
        <v>16</v>
      </c>
      <c r="L7" s="414">
        <v>8</v>
      </c>
      <c r="M7" s="409">
        <v>3.1</v>
      </c>
      <c r="N7" s="410">
        <v>8</v>
      </c>
      <c r="W7" s="412"/>
    </row>
    <row r="8" spans="1:23" s="399" customFormat="1" ht="18" customHeight="1" thickTop="1" thickBot="1" x14ac:dyDescent="0.25">
      <c r="A8" s="413" t="s">
        <v>377</v>
      </c>
      <c r="B8" s="403" t="s">
        <v>96</v>
      </c>
      <c r="C8" s="863">
        <f>INDEX(P3:P6,MATCH(B8,O3:O6,0))</f>
        <v>8</v>
      </c>
      <c r="D8" s="864"/>
      <c r="E8" s="865"/>
      <c r="F8" s="406">
        <v>14</v>
      </c>
      <c r="G8" s="405" t="s">
        <v>376</v>
      </c>
      <c r="I8" s="406">
        <v>14</v>
      </c>
      <c r="J8" s="407">
        <v>8</v>
      </c>
      <c r="K8" s="406">
        <v>17</v>
      </c>
      <c r="L8" s="414">
        <v>8</v>
      </c>
      <c r="M8" s="409">
        <v>3</v>
      </c>
      <c r="N8" s="418">
        <v>8</v>
      </c>
      <c r="W8" s="412"/>
    </row>
    <row r="9" spans="1:23" s="399" customFormat="1" ht="18" customHeight="1" thickTop="1" thickBot="1" x14ac:dyDescent="0.25">
      <c r="A9" s="413" t="s">
        <v>378</v>
      </c>
      <c r="B9" s="403" t="s">
        <v>393</v>
      </c>
      <c r="C9" s="863">
        <f>INDEX(M13:M16,MATCH(B9,L13:L16,0))</f>
        <v>8</v>
      </c>
      <c r="D9" s="864"/>
      <c r="E9" s="865"/>
      <c r="F9" s="406">
        <v>15</v>
      </c>
      <c r="G9" s="405" t="s">
        <v>376</v>
      </c>
      <c r="I9" s="406">
        <v>15</v>
      </c>
      <c r="J9" s="407">
        <v>2</v>
      </c>
      <c r="K9" s="419" t="s">
        <v>380</v>
      </c>
      <c r="L9" s="420">
        <v>10</v>
      </c>
      <c r="M9" s="409">
        <v>2.9</v>
      </c>
      <c r="N9" s="410">
        <v>8</v>
      </c>
      <c r="W9" s="412"/>
    </row>
    <row r="10" spans="1:23" s="399" customFormat="1" ht="18" customHeight="1" thickTop="1" thickBot="1" x14ac:dyDescent="0.25">
      <c r="A10" s="413" t="s">
        <v>381</v>
      </c>
      <c r="B10" s="403">
        <v>6</v>
      </c>
      <c r="C10" s="866">
        <f>INDEX(Q13:Q22,MATCH(B10,P13:P22,0))</f>
        <v>8</v>
      </c>
      <c r="D10" s="864"/>
      <c r="E10" s="865"/>
      <c r="F10" s="406">
        <v>16</v>
      </c>
      <c r="G10" s="405" t="s">
        <v>376</v>
      </c>
      <c r="I10" s="406">
        <v>16</v>
      </c>
      <c r="J10" s="407">
        <v>2</v>
      </c>
      <c r="M10" s="421" t="s">
        <v>382</v>
      </c>
      <c r="N10" s="422">
        <v>10</v>
      </c>
      <c r="W10" s="412"/>
    </row>
    <row r="11" spans="1:23" s="399" customFormat="1" ht="18" customHeight="1" thickTop="1" thickBot="1" x14ac:dyDescent="0.25">
      <c r="A11" s="413" t="s">
        <v>383</v>
      </c>
      <c r="B11" s="403">
        <v>5</v>
      </c>
      <c r="C11" s="866">
        <f>INDEX(O13:O19,MATCH(B11,N13:N19,0))</f>
        <v>8</v>
      </c>
      <c r="D11" s="863">
        <f>SUM(C3:C11)</f>
        <v>72</v>
      </c>
      <c r="E11" s="865"/>
      <c r="F11" s="406">
        <v>17</v>
      </c>
      <c r="G11" s="405" t="s">
        <v>376</v>
      </c>
      <c r="I11" s="406">
        <v>17</v>
      </c>
      <c r="J11" s="407">
        <v>2</v>
      </c>
      <c r="W11" s="412"/>
    </row>
    <row r="12" spans="1:23" s="399" customFormat="1" ht="18" customHeight="1" thickTop="1" thickBot="1" x14ac:dyDescent="0.25">
      <c r="A12" s="423"/>
      <c r="B12" s="424"/>
      <c r="C12" s="865"/>
      <c r="D12" s="863"/>
      <c r="E12" s="865"/>
      <c r="F12" s="406">
        <v>18</v>
      </c>
      <c r="G12" s="405" t="s">
        <v>376</v>
      </c>
      <c r="I12" s="406">
        <v>18</v>
      </c>
      <c r="J12" s="407">
        <v>1</v>
      </c>
      <c r="L12" s="1126" t="s">
        <v>385</v>
      </c>
      <c r="M12" s="1127"/>
      <c r="N12" s="1126" t="s">
        <v>386</v>
      </c>
      <c r="O12" s="1127"/>
      <c r="P12" s="1126" t="s">
        <v>387</v>
      </c>
      <c r="Q12" s="1127"/>
      <c r="R12" s="1126" t="s">
        <v>388</v>
      </c>
      <c r="S12" s="1127"/>
      <c r="T12" s="1126" t="s">
        <v>389</v>
      </c>
      <c r="U12" s="1127"/>
    </row>
    <row r="13" spans="1:23" s="399" customFormat="1" ht="20.100000000000001" customHeight="1" thickTop="1" x14ac:dyDescent="0.2">
      <c r="A13" s="1128" t="s">
        <v>390</v>
      </c>
      <c r="B13" s="1129"/>
      <c r="C13" s="867"/>
      <c r="D13" s="865"/>
      <c r="E13" s="865"/>
      <c r="F13" s="406">
        <v>19</v>
      </c>
      <c r="G13" s="405" t="s">
        <v>376</v>
      </c>
      <c r="I13" s="406">
        <v>19</v>
      </c>
      <c r="J13" s="415">
        <v>1</v>
      </c>
      <c r="L13" s="425" t="s">
        <v>379</v>
      </c>
      <c r="M13" s="426">
        <v>1</v>
      </c>
      <c r="N13" s="404" t="s">
        <v>384</v>
      </c>
      <c r="O13" s="426">
        <v>1</v>
      </c>
      <c r="P13" s="404" t="s">
        <v>391</v>
      </c>
      <c r="Q13" s="415">
        <v>10</v>
      </c>
      <c r="R13" s="427" t="s">
        <v>371</v>
      </c>
      <c r="S13" s="428">
        <v>1</v>
      </c>
      <c r="T13" s="429" t="s">
        <v>373</v>
      </c>
      <c r="U13" s="430">
        <v>1</v>
      </c>
    </row>
    <row r="14" spans="1:23" s="399" customFormat="1" ht="20.100000000000001" customHeight="1" thickBot="1" x14ac:dyDescent="0.25">
      <c r="A14" s="431"/>
      <c r="B14" s="432" t="str">
        <f>INDEX(G3:G35,MATCH(D11,F3:F35,1))</f>
        <v>EXTREME</v>
      </c>
      <c r="C14" s="867"/>
      <c r="D14" s="865"/>
      <c r="E14" s="865"/>
      <c r="F14" s="406">
        <v>20</v>
      </c>
      <c r="G14" s="405" t="s">
        <v>376</v>
      </c>
      <c r="I14" s="406">
        <v>20</v>
      </c>
      <c r="J14" s="415">
        <v>1</v>
      </c>
      <c r="L14" s="425" t="s">
        <v>392</v>
      </c>
      <c r="M14" s="426">
        <v>2</v>
      </c>
      <c r="N14" s="406">
        <v>2</v>
      </c>
      <c r="O14" s="426">
        <v>2</v>
      </c>
      <c r="P14" s="409">
        <v>0.5</v>
      </c>
      <c r="Q14" s="407">
        <v>8</v>
      </c>
      <c r="R14" s="427">
        <v>8</v>
      </c>
      <c r="S14" s="433">
        <v>2</v>
      </c>
      <c r="T14" s="406">
        <v>30</v>
      </c>
      <c r="U14" s="434">
        <v>2</v>
      </c>
    </row>
    <row r="15" spans="1:23" s="399" customFormat="1" ht="18" customHeight="1" thickTop="1" x14ac:dyDescent="0.2">
      <c r="B15" s="435"/>
      <c r="C15" s="865"/>
      <c r="D15" s="865"/>
      <c r="E15" s="865"/>
      <c r="F15" s="406">
        <v>21</v>
      </c>
      <c r="G15" s="405" t="s">
        <v>376</v>
      </c>
      <c r="I15" s="406">
        <v>21</v>
      </c>
      <c r="J15" s="407">
        <v>1</v>
      </c>
      <c r="L15" s="425" t="s">
        <v>393</v>
      </c>
      <c r="M15" s="426">
        <v>8</v>
      </c>
      <c r="N15" s="406">
        <v>3</v>
      </c>
      <c r="O15" s="426">
        <v>2</v>
      </c>
      <c r="P15" s="409">
        <v>1</v>
      </c>
      <c r="Q15" s="407">
        <v>2</v>
      </c>
      <c r="R15" s="427">
        <v>9</v>
      </c>
      <c r="S15" s="433">
        <v>2</v>
      </c>
      <c r="T15" s="406">
        <v>32</v>
      </c>
      <c r="U15" s="434">
        <v>2</v>
      </c>
    </row>
    <row r="16" spans="1:23" s="399" customFormat="1" ht="18" customHeight="1" x14ac:dyDescent="0.2">
      <c r="C16" s="865"/>
      <c r="D16" s="865"/>
      <c r="E16" s="865"/>
      <c r="F16" s="406">
        <v>22</v>
      </c>
      <c r="G16" s="405" t="s">
        <v>376</v>
      </c>
      <c r="I16" s="406">
        <v>22</v>
      </c>
      <c r="J16" s="407">
        <v>2</v>
      </c>
      <c r="L16" s="436" t="s">
        <v>394</v>
      </c>
      <c r="M16" s="437">
        <v>10</v>
      </c>
      <c r="N16" s="406">
        <v>4</v>
      </c>
      <c r="O16" s="426">
        <v>8</v>
      </c>
      <c r="P16" s="409">
        <v>2</v>
      </c>
      <c r="Q16" s="415">
        <v>1</v>
      </c>
      <c r="R16" s="427">
        <v>10</v>
      </c>
      <c r="S16" s="433">
        <v>2</v>
      </c>
      <c r="T16" s="406">
        <v>34</v>
      </c>
      <c r="U16" s="434">
        <v>2</v>
      </c>
    </row>
    <row r="17" spans="3:21" s="399" customFormat="1" ht="18" customHeight="1" x14ac:dyDescent="0.2">
      <c r="C17" s="865"/>
      <c r="D17" s="865"/>
      <c r="E17" s="865"/>
      <c r="F17" s="406">
        <v>23</v>
      </c>
      <c r="G17" s="405" t="s">
        <v>395</v>
      </c>
      <c r="H17" s="426"/>
      <c r="I17" s="406">
        <v>23</v>
      </c>
      <c r="J17" s="407">
        <v>2</v>
      </c>
      <c r="N17" s="406">
        <v>5</v>
      </c>
      <c r="O17" s="426">
        <v>8</v>
      </c>
      <c r="P17" s="409">
        <v>3</v>
      </c>
      <c r="Q17" s="415">
        <v>1</v>
      </c>
      <c r="R17" s="427">
        <v>11</v>
      </c>
      <c r="S17" s="433">
        <v>2</v>
      </c>
      <c r="T17" s="406">
        <v>36</v>
      </c>
      <c r="U17" s="434">
        <v>2</v>
      </c>
    </row>
    <row r="18" spans="3:21" s="399" customFormat="1" ht="18" customHeight="1" x14ac:dyDescent="0.2">
      <c r="F18" s="406">
        <v>24</v>
      </c>
      <c r="G18" s="405" t="s">
        <v>395</v>
      </c>
      <c r="H18" s="426"/>
      <c r="I18" s="406">
        <v>24</v>
      </c>
      <c r="J18" s="407">
        <v>8</v>
      </c>
      <c r="N18" s="406">
        <v>6</v>
      </c>
      <c r="O18" s="426">
        <v>8</v>
      </c>
      <c r="P18" s="409">
        <v>4</v>
      </c>
      <c r="Q18" s="438">
        <v>2</v>
      </c>
      <c r="R18" s="427">
        <v>12</v>
      </c>
      <c r="S18" s="433">
        <v>8</v>
      </c>
      <c r="T18" s="406">
        <v>38</v>
      </c>
      <c r="U18" s="434">
        <v>2</v>
      </c>
    </row>
    <row r="19" spans="3:21" s="399" customFormat="1" ht="18" customHeight="1" x14ac:dyDescent="0.2">
      <c r="F19" s="406">
        <v>25</v>
      </c>
      <c r="G19" s="405" t="s">
        <v>395</v>
      </c>
      <c r="H19" s="426"/>
      <c r="I19" s="406">
        <v>25</v>
      </c>
      <c r="J19" s="407">
        <v>8</v>
      </c>
      <c r="N19" s="419" t="s">
        <v>396</v>
      </c>
      <c r="O19" s="437">
        <v>10</v>
      </c>
      <c r="P19" s="409">
        <v>5</v>
      </c>
      <c r="Q19" s="410">
        <v>2</v>
      </c>
      <c r="R19" s="427">
        <v>13</v>
      </c>
      <c r="S19" s="433">
        <v>8</v>
      </c>
      <c r="T19" s="406">
        <v>40</v>
      </c>
      <c r="U19" s="434">
        <v>8</v>
      </c>
    </row>
    <row r="20" spans="3:21" s="399" customFormat="1" ht="18" customHeight="1" x14ac:dyDescent="0.2">
      <c r="F20" s="406">
        <v>26</v>
      </c>
      <c r="G20" s="405" t="s">
        <v>395</v>
      </c>
      <c r="H20" s="426"/>
      <c r="I20" s="406">
        <v>26</v>
      </c>
      <c r="J20" s="407">
        <v>8</v>
      </c>
      <c r="P20" s="409">
        <v>6</v>
      </c>
      <c r="Q20" s="410">
        <v>8</v>
      </c>
      <c r="R20" s="427">
        <v>14</v>
      </c>
      <c r="S20" s="433">
        <v>8</v>
      </c>
      <c r="T20" s="406">
        <v>42</v>
      </c>
      <c r="U20" s="434">
        <v>8</v>
      </c>
    </row>
    <row r="21" spans="3:21" s="399" customFormat="1" ht="18" customHeight="1" x14ac:dyDescent="0.2">
      <c r="F21" s="406">
        <v>27</v>
      </c>
      <c r="G21" s="405" t="s">
        <v>395</v>
      </c>
      <c r="H21" s="426"/>
      <c r="I21" s="406">
        <v>27</v>
      </c>
      <c r="J21" s="407">
        <v>8</v>
      </c>
      <c r="P21" s="409">
        <v>7</v>
      </c>
      <c r="Q21" s="410">
        <v>8</v>
      </c>
      <c r="R21" s="427">
        <v>15</v>
      </c>
      <c r="S21" s="433">
        <v>8</v>
      </c>
      <c r="T21" s="406">
        <v>46</v>
      </c>
      <c r="U21" s="434">
        <v>8</v>
      </c>
    </row>
    <row r="22" spans="3:21" s="399" customFormat="1" ht="18" customHeight="1" x14ac:dyDescent="0.2">
      <c r="F22" s="406">
        <v>28</v>
      </c>
      <c r="G22" s="405" t="s">
        <v>395</v>
      </c>
      <c r="H22" s="426"/>
      <c r="I22" s="406">
        <v>28</v>
      </c>
      <c r="J22" s="407">
        <v>8</v>
      </c>
      <c r="M22" s="439"/>
      <c r="P22" s="421" t="s">
        <v>397</v>
      </c>
      <c r="Q22" s="440">
        <v>10</v>
      </c>
      <c r="R22" s="441" t="s">
        <v>398</v>
      </c>
      <c r="S22" s="442">
        <v>10</v>
      </c>
      <c r="T22" s="406">
        <v>48</v>
      </c>
      <c r="U22" s="434">
        <v>8</v>
      </c>
    </row>
    <row r="23" spans="3:21" s="399" customFormat="1" ht="18" customHeight="1" x14ac:dyDescent="0.2">
      <c r="F23" s="406">
        <v>29</v>
      </c>
      <c r="G23" s="405" t="s">
        <v>395</v>
      </c>
      <c r="H23" s="426"/>
      <c r="I23" s="406">
        <v>29</v>
      </c>
      <c r="J23" s="407">
        <v>8</v>
      </c>
      <c r="M23" s="439"/>
      <c r="P23" s="443"/>
      <c r="Q23" s="444"/>
      <c r="T23" s="406">
        <v>50</v>
      </c>
      <c r="U23" s="434">
        <v>8</v>
      </c>
    </row>
    <row r="24" spans="3:21" s="399" customFormat="1" ht="18" customHeight="1" x14ac:dyDescent="0.2">
      <c r="F24" s="406">
        <v>30</v>
      </c>
      <c r="G24" s="405" t="s">
        <v>395</v>
      </c>
      <c r="H24" s="426"/>
      <c r="I24" s="445" t="s">
        <v>399</v>
      </c>
      <c r="J24" s="417">
        <v>10</v>
      </c>
      <c r="M24" s="443"/>
      <c r="T24" s="406">
        <v>52</v>
      </c>
      <c r="U24" s="434">
        <v>8</v>
      </c>
    </row>
    <row r="25" spans="3:21" s="399" customFormat="1" ht="18" customHeight="1" x14ac:dyDescent="0.2">
      <c r="F25" s="406">
        <v>31</v>
      </c>
      <c r="G25" s="405" t="s">
        <v>395</v>
      </c>
      <c r="H25" s="426"/>
      <c r="I25" s="426"/>
      <c r="J25" s="426"/>
      <c r="M25" s="443"/>
      <c r="T25" s="406">
        <v>54</v>
      </c>
      <c r="U25" s="434">
        <v>8</v>
      </c>
    </row>
    <row r="26" spans="3:21" s="399" customFormat="1" ht="18" customHeight="1" x14ac:dyDescent="0.2">
      <c r="F26" s="406">
        <v>32</v>
      </c>
      <c r="G26" s="405" t="s">
        <v>395</v>
      </c>
      <c r="H26" s="426"/>
      <c r="I26" s="426"/>
      <c r="J26" s="426"/>
      <c r="T26" s="406">
        <v>56</v>
      </c>
      <c r="U26" s="434">
        <v>8</v>
      </c>
    </row>
    <row r="27" spans="3:21" s="399" customFormat="1" ht="18" customHeight="1" x14ac:dyDescent="0.2">
      <c r="F27" s="406">
        <v>33</v>
      </c>
      <c r="G27" s="405" t="s">
        <v>395</v>
      </c>
      <c r="H27" s="426"/>
      <c r="I27" s="426"/>
      <c r="J27" s="426"/>
      <c r="T27" s="406">
        <v>58</v>
      </c>
      <c r="U27" s="434">
        <v>8</v>
      </c>
    </row>
    <row r="28" spans="3:21" s="399" customFormat="1" ht="18" customHeight="1" x14ac:dyDescent="0.2">
      <c r="F28" s="406">
        <v>34</v>
      </c>
      <c r="G28" s="405" t="s">
        <v>395</v>
      </c>
      <c r="H28" s="426"/>
      <c r="I28" s="426"/>
      <c r="J28" s="426"/>
      <c r="T28" s="406">
        <v>60</v>
      </c>
      <c r="U28" s="434">
        <v>8</v>
      </c>
    </row>
    <row r="29" spans="3:21" s="399" customFormat="1" ht="18" customHeight="1" x14ac:dyDescent="0.2">
      <c r="F29" s="406">
        <v>35</v>
      </c>
      <c r="G29" s="405" t="s">
        <v>395</v>
      </c>
      <c r="J29" s="439"/>
      <c r="T29" s="445" t="s">
        <v>400</v>
      </c>
      <c r="U29" s="446">
        <v>10</v>
      </c>
    </row>
    <row r="30" spans="3:21" s="399" customFormat="1" ht="18" customHeight="1" x14ac:dyDescent="0.2">
      <c r="F30" s="406">
        <v>36</v>
      </c>
      <c r="G30" s="405" t="s">
        <v>395</v>
      </c>
      <c r="J30" s="439"/>
    </row>
    <row r="31" spans="3:21" s="399" customFormat="1" ht="18" customHeight="1" x14ac:dyDescent="0.2">
      <c r="F31" s="406">
        <v>37</v>
      </c>
      <c r="G31" s="405" t="s">
        <v>395</v>
      </c>
      <c r="J31" s="439"/>
    </row>
    <row r="32" spans="3:21" s="399" customFormat="1" ht="18" customHeight="1" x14ac:dyDescent="0.2">
      <c r="F32" s="406">
        <v>38</v>
      </c>
      <c r="G32" s="405" t="s">
        <v>395</v>
      </c>
      <c r="J32" s="439"/>
    </row>
    <row r="33" spans="6:21" s="399" customFormat="1" ht="18" customHeight="1" x14ac:dyDescent="0.2">
      <c r="F33" s="406">
        <v>39</v>
      </c>
      <c r="G33" s="405" t="s">
        <v>395</v>
      </c>
      <c r="J33" s="439"/>
    </row>
    <row r="34" spans="6:21" s="399" customFormat="1" ht="18" customHeight="1" x14ac:dyDescent="0.2">
      <c r="F34" s="406">
        <v>40</v>
      </c>
      <c r="G34" s="405" t="s">
        <v>395</v>
      </c>
      <c r="J34" s="439"/>
    </row>
    <row r="35" spans="6:21" s="399" customFormat="1" ht="18" customHeight="1" x14ac:dyDescent="0.2">
      <c r="F35" s="445">
        <v>41</v>
      </c>
      <c r="G35" s="417" t="s">
        <v>401</v>
      </c>
      <c r="J35" s="439"/>
      <c r="L35" s="447"/>
      <c r="M35" s="447"/>
      <c r="N35" s="447"/>
      <c r="O35" s="447"/>
      <c r="P35" s="447"/>
      <c r="Q35" s="447"/>
      <c r="R35" s="447"/>
      <c r="S35" s="447"/>
      <c r="T35" s="447"/>
      <c r="U35" s="447"/>
    </row>
    <row r="36" spans="6:21" s="399" customFormat="1" ht="18" customHeight="1" x14ac:dyDescent="0.2">
      <c r="J36" s="439"/>
      <c r="L36" s="447"/>
      <c r="M36" s="447"/>
      <c r="N36" s="447"/>
      <c r="O36" s="447"/>
      <c r="P36" s="447"/>
      <c r="Q36" s="447"/>
      <c r="R36" s="447"/>
      <c r="S36" s="447"/>
      <c r="T36" s="447"/>
      <c r="U36" s="447"/>
    </row>
    <row r="37" spans="6:21" s="399" customFormat="1" ht="18" customHeight="1" x14ac:dyDescent="0.2">
      <c r="J37" s="439"/>
      <c r="L37" s="447"/>
      <c r="M37" s="447"/>
      <c r="N37" s="447"/>
      <c r="O37" s="447"/>
      <c r="P37" s="447"/>
      <c r="Q37" s="447"/>
      <c r="R37" s="447"/>
      <c r="S37" s="447"/>
      <c r="T37" s="447"/>
      <c r="U37" s="447"/>
    </row>
    <row r="38" spans="6:21" s="399" customFormat="1" ht="18" customHeight="1" x14ac:dyDescent="0.2">
      <c r="J38" s="439"/>
      <c r="L38" s="447"/>
      <c r="M38" s="447"/>
      <c r="N38" s="447"/>
      <c r="O38" s="447"/>
      <c r="P38" s="447"/>
      <c r="Q38" s="447"/>
      <c r="R38" s="447"/>
      <c r="S38" s="447"/>
      <c r="T38" s="447"/>
      <c r="U38" s="447"/>
    </row>
    <row r="39" spans="6:21" s="399" customFormat="1" ht="18" customHeight="1" x14ac:dyDescent="0.2">
      <c r="J39" s="439"/>
      <c r="L39" s="447"/>
      <c r="M39" s="447"/>
      <c r="N39" s="447"/>
      <c r="O39" s="447"/>
      <c r="P39" s="447"/>
      <c r="Q39" s="447"/>
      <c r="R39" s="447"/>
      <c r="S39" s="447"/>
      <c r="T39" s="447"/>
      <c r="U39" s="447"/>
    </row>
    <row r="40" spans="6:21" x14ac:dyDescent="0.2">
      <c r="J40" s="439"/>
    </row>
    <row r="41" spans="6:21" x14ac:dyDescent="0.2">
      <c r="J41" s="439"/>
    </row>
    <row r="42" spans="6:21" x14ac:dyDescent="0.2">
      <c r="J42" s="439"/>
    </row>
    <row r="43" spans="6:21" x14ac:dyDescent="0.2">
      <c r="J43" s="439"/>
    </row>
    <row r="44" spans="6:21" x14ac:dyDescent="0.2">
      <c r="J44" s="439"/>
    </row>
    <row r="45" spans="6:21" x14ac:dyDescent="0.2">
      <c r="J45" s="439"/>
    </row>
    <row r="46" spans="6:21" x14ac:dyDescent="0.2">
      <c r="J46" s="439"/>
    </row>
    <row r="47" spans="6:21" x14ac:dyDescent="0.2">
      <c r="J47" s="439"/>
    </row>
    <row r="48" spans="6:21" x14ac:dyDescent="0.2">
      <c r="J48" s="439"/>
    </row>
    <row r="49" spans="8:10" x14ac:dyDescent="0.2">
      <c r="J49" s="439"/>
    </row>
    <row r="50" spans="8:10" x14ac:dyDescent="0.2">
      <c r="J50" s="439"/>
    </row>
    <row r="51" spans="8:10" x14ac:dyDescent="0.2">
      <c r="J51" s="439"/>
    </row>
    <row r="52" spans="8:10" x14ac:dyDescent="0.2">
      <c r="J52" s="439"/>
    </row>
    <row r="53" spans="8:10" x14ac:dyDescent="0.2">
      <c r="J53" s="439"/>
    </row>
    <row r="54" spans="8:10" x14ac:dyDescent="0.2">
      <c r="J54" s="439"/>
    </row>
    <row r="55" spans="8:10" x14ac:dyDescent="0.2">
      <c r="J55" s="439"/>
    </row>
    <row r="56" spans="8:10" x14ac:dyDescent="0.2">
      <c r="J56" s="439"/>
    </row>
    <row r="57" spans="8:10" x14ac:dyDescent="0.2">
      <c r="J57" s="439"/>
    </row>
    <row r="58" spans="8:10" x14ac:dyDescent="0.2">
      <c r="J58" s="439"/>
    </row>
    <row r="59" spans="8:10" x14ac:dyDescent="0.2">
      <c r="J59" s="439"/>
    </row>
    <row r="60" spans="8:10" x14ac:dyDescent="0.2">
      <c r="H60" s="439"/>
      <c r="I60" s="439"/>
      <c r="J60" s="439"/>
    </row>
    <row r="61" spans="8:10" x14ac:dyDescent="0.2">
      <c r="H61" s="439"/>
      <c r="I61" s="439"/>
      <c r="J61" s="439"/>
    </row>
    <row r="62" spans="8:10" x14ac:dyDescent="0.2">
      <c r="H62" s="439"/>
      <c r="I62" s="439"/>
      <c r="J62" s="439"/>
    </row>
    <row r="63" spans="8:10" x14ac:dyDescent="0.2">
      <c r="H63" s="439"/>
      <c r="I63" s="439"/>
      <c r="J63" s="439"/>
    </row>
  </sheetData>
  <sheetProtection sheet="1" objects="1" scenarios="1" formatCells="0"/>
  <mergeCells count="11">
    <mergeCell ref="R12:S12"/>
    <mergeCell ref="T12:U12"/>
    <mergeCell ref="A13:B13"/>
    <mergeCell ref="A2:B2"/>
    <mergeCell ref="I2:J2"/>
    <mergeCell ref="K2:L2"/>
    <mergeCell ref="M2:N2"/>
    <mergeCell ref="O2:P2"/>
    <mergeCell ref="L12:M12"/>
    <mergeCell ref="N12:O12"/>
    <mergeCell ref="P12:Q12"/>
  </mergeCells>
  <conditionalFormatting sqref="B14">
    <cfRule type="cellIs" dxfId="0" priority="1" operator="equal">
      <formula>"EXTREME"</formula>
    </cfRule>
  </conditionalFormatting>
  <dataValidations count="9">
    <dataValidation type="list" allowBlank="1" showInputMessage="1" showErrorMessage="1" sqref="B11">
      <formula1>$N$13:$N$19</formula1>
    </dataValidation>
    <dataValidation type="list" allowBlank="1" showInputMessage="1" showErrorMessage="1" sqref="B10">
      <formula1>$P$13:$P$22</formula1>
    </dataValidation>
    <dataValidation type="list" allowBlank="1" showInputMessage="1" showErrorMessage="1" sqref="B9">
      <formula1>$L$13:$L$16</formula1>
    </dataValidation>
    <dataValidation type="list" allowBlank="1" showInputMessage="1" showErrorMessage="1" sqref="B8">
      <formula1>$O$3:$O$6</formula1>
    </dataValidation>
    <dataValidation type="list" allowBlank="1" showInputMessage="1" showErrorMessage="1" sqref="B7">
      <formula1>$I$3:$I$24</formula1>
    </dataValidation>
    <dataValidation type="list" allowBlank="1" showInputMessage="1" showErrorMessage="1" sqref="B5">
      <formula1>$R$13:$R$22</formula1>
    </dataValidation>
    <dataValidation type="list" allowBlank="1" showInputMessage="1" showErrorMessage="1" sqref="B3">
      <formula1>$K$3:$K$9</formula1>
    </dataValidation>
    <dataValidation type="list" allowBlank="1" showInputMessage="1" showErrorMessage="1" sqref="B4">
      <formula1>$M$3:$M$11</formula1>
    </dataValidation>
    <dataValidation type="list" allowBlank="1" showInputMessage="1" showErrorMessage="1" sqref="B6">
      <formula1>$T$13:$T$29</formula1>
    </dataValidation>
  </dataValidations>
  <pageMargins left="0.7" right="0.7" top="0.75" bottom="0.75" header="0.3" footer="0.3"/>
  <pageSetup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pane xSplit="1" ySplit="2" topLeftCell="B6" activePane="bottomRight" state="frozen"/>
      <selection activeCell="D78" sqref="D78"/>
      <selection pane="topRight" activeCell="D78" sqref="D78"/>
      <selection pane="bottomLeft" activeCell="D78" sqref="D78"/>
      <selection pane="bottomRight" activeCell="C28" sqref="C28"/>
    </sheetView>
  </sheetViews>
  <sheetFormatPr defaultRowHeight="12.75" x14ac:dyDescent="0.2"/>
  <cols>
    <col min="1" max="1" width="33.42578125" bestFit="1" customWidth="1"/>
    <col min="2" max="3" width="24.42578125" customWidth="1"/>
    <col min="4" max="5" width="21.28515625" bestFit="1" customWidth="1"/>
    <col min="6" max="7" width="22.7109375" bestFit="1" customWidth="1"/>
    <col min="8" max="10" width="20.140625" bestFit="1" customWidth="1"/>
    <col min="11" max="12" width="22.5703125" bestFit="1" customWidth="1"/>
  </cols>
  <sheetData>
    <row r="1" spans="1:12" ht="44.25" customHeight="1" x14ac:dyDescent="0.2">
      <c r="A1" s="1134" t="s">
        <v>1047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</row>
    <row r="2" spans="1:12" ht="30.75" customHeight="1" x14ac:dyDescent="0.2">
      <c r="A2" s="168"/>
      <c r="B2" s="453" t="s">
        <v>1022</v>
      </c>
      <c r="C2" s="453" t="s">
        <v>524</v>
      </c>
      <c r="D2" s="453" t="s">
        <v>525</v>
      </c>
      <c r="E2" s="453" t="s">
        <v>526</v>
      </c>
      <c r="F2" s="453" t="s">
        <v>527</v>
      </c>
      <c r="G2" s="453" t="s">
        <v>528</v>
      </c>
      <c r="H2" s="453" t="s">
        <v>529</v>
      </c>
      <c r="I2" s="453" t="s">
        <v>530</v>
      </c>
      <c r="J2" s="453" t="s">
        <v>531</v>
      </c>
      <c r="K2" s="453" t="s">
        <v>532</v>
      </c>
      <c r="L2" s="453" t="s">
        <v>533</v>
      </c>
    </row>
    <row r="3" spans="1:12" ht="15" customHeight="1" x14ac:dyDescent="0.25">
      <c r="A3" s="454" t="s">
        <v>534</v>
      </c>
      <c r="B3" s="455" t="s">
        <v>535</v>
      </c>
      <c r="C3" s="455" t="s">
        <v>535</v>
      </c>
      <c r="D3" s="455" t="s">
        <v>536</v>
      </c>
      <c r="E3" s="455" t="s">
        <v>537</v>
      </c>
      <c r="F3" s="455" t="s">
        <v>538</v>
      </c>
      <c r="G3" s="455" t="s">
        <v>539</v>
      </c>
      <c r="H3" s="455">
        <v>14</v>
      </c>
      <c r="I3" s="455">
        <v>16</v>
      </c>
      <c r="J3" s="455">
        <v>14</v>
      </c>
      <c r="K3" s="455" t="s">
        <v>875</v>
      </c>
      <c r="L3" s="455">
        <v>15</v>
      </c>
    </row>
    <row r="4" spans="1:12" ht="15" customHeight="1" x14ac:dyDescent="0.2">
      <c r="A4" s="392" t="s">
        <v>540</v>
      </c>
      <c r="B4" s="452" t="s">
        <v>368</v>
      </c>
      <c r="C4" s="452" t="s">
        <v>541</v>
      </c>
      <c r="D4" s="452" t="s">
        <v>541</v>
      </c>
      <c r="E4" s="452" t="s">
        <v>542</v>
      </c>
      <c r="F4" s="452" t="s">
        <v>542</v>
      </c>
      <c r="G4" s="452" t="s">
        <v>542</v>
      </c>
      <c r="H4" s="452">
        <v>3.2</v>
      </c>
      <c r="I4" s="452">
        <v>3.4</v>
      </c>
      <c r="J4" s="452">
        <v>3.1</v>
      </c>
      <c r="K4" s="452">
        <v>3.4</v>
      </c>
      <c r="L4" s="452" t="s">
        <v>873</v>
      </c>
    </row>
    <row r="5" spans="1:12" ht="15" customHeight="1" x14ac:dyDescent="0.35">
      <c r="A5" s="454" t="s">
        <v>543</v>
      </c>
      <c r="B5" s="455" t="s">
        <v>544</v>
      </c>
      <c r="C5" s="455" t="s">
        <v>544</v>
      </c>
      <c r="D5" s="455" t="s">
        <v>545</v>
      </c>
      <c r="E5" s="455" t="s">
        <v>546</v>
      </c>
      <c r="F5" s="455" t="s">
        <v>545</v>
      </c>
      <c r="G5" s="455" t="s">
        <v>545</v>
      </c>
      <c r="H5" s="455" t="s">
        <v>547</v>
      </c>
      <c r="I5" s="455" t="s">
        <v>547</v>
      </c>
      <c r="J5" s="455" t="s">
        <v>546</v>
      </c>
      <c r="K5" s="455" t="s">
        <v>544</v>
      </c>
      <c r="L5" s="455" t="s">
        <v>367</v>
      </c>
    </row>
    <row r="6" spans="1:12" ht="15" customHeight="1" x14ac:dyDescent="0.2">
      <c r="A6" s="392" t="s">
        <v>548</v>
      </c>
      <c r="B6" s="452" t="s">
        <v>1023</v>
      </c>
      <c r="C6" s="452" t="s">
        <v>871</v>
      </c>
      <c r="D6" s="452" t="s">
        <v>871</v>
      </c>
      <c r="E6" s="452" t="s">
        <v>872</v>
      </c>
      <c r="F6" s="452" t="s">
        <v>878</v>
      </c>
      <c r="G6" s="452" t="s">
        <v>878</v>
      </c>
      <c r="H6" s="452" t="s">
        <v>549</v>
      </c>
      <c r="I6" s="452" t="s">
        <v>549</v>
      </c>
      <c r="J6" s="452" t="s">
        <v>550</v>
      </c>
      <c r="K6" s="452" t="s">
        <v>874</v>
      </c>
      <c r="L6" s="452" t="s">
        <v>551</v>
      </c>
    </row>
    <row r="7" spans="1:12" ht="15" customHeight="1" x14ac:dyDescent="0.25">
      <c r="A7" s="454" t="s">
        <v>552</v>
      </c>
      <c r="B7" s="454"/>
      <c r="C7" s="455" t="s">
        <v>166</v>
      </c>
      <c r="D7" s="455" t="s">
        <v>171</v>
      </c>
      <c r="E7" s="455" t="s">
        <v>171</v>
      </c>
      <c r="F7" s="455" t="s">
        <v>166</v>
      </c>
      <c r="G7" s="455" t="s">
        <v>553</v>
      </c>
      <c r="H7" s="455" t="s">
        <v>166</v>
      </c>
      <c r="I7" s="455" t="s">
        <v>166</v>
      </c>
      <c r="J7" s="455" t="s">
        <v>166</v>
      </c>
      <c r="K7" s="455" t="s">
        <v>876</v>
      </c>
      <c r="L7" s="455" t="s">
        <v>166</v>
      </c>
    </row>
    <row r="8" spans="1:12" ht="15" customHeight="1" x14ac:dyDescent="0.2">
      <c r="A8" s="392" t="s">
        <v>554</v>
      </c>
      <c r="B8" s="452">
        <v>0</v>
      </c>
      <c r="C8" s="452">
        <v>9.1999999999999993</v>
      </c>
      <c r="D8" s="452">
        <v>14</v>
      </c>
      <c r="E8" s="452">
        <v>7.4</v>
      </c>
      <c r="F8" s="452">
        <v>4.5</v>
      </c>
      <c r="G8" s="452">
        <v>8.5</v>
      </c>
      <c r="H8" s="452" t="s">
        <v>553</v>
      </c>
      <c r="I8" s="452" t="s">
        <v>553</v>
      </c>
      <c r="J8" s="452" t="s">
        <v>171</v>
      </c>
      <c r="K8" s="452" t="s">
        <v>877</v>
      </c>
      <c r="L8" s="452" t="s">
        <v>166</v>
      </c>
    </row>
    <row r="9" spans="1:12" ht="15" customHeight="1" x14ac:dyDescent="0.25">
      <c r="A9" s="454" t="s">
        <v>555</v>
      </c>
      <c r="B9" s="455" t="s">
        <v>1024</v>
      </c>
      <c r="C9" s="455" t="s">
        <v>420</v>
      </c>
      <c r="D9" s="455" t="s">
        <v>443</v>
      </c>
      <c r="E9" s="455" t="s">
        <v>443</v>
      </c>
      <c r="F9" s="455" t="s">
        <v>420</v>
      </c>
      <c r="G9" s="455" t="s">
        <v>475</v>
      </c>
      <c r="H9" s="455"/>
      <c r="I9" s="455"/>
      <c r="J9" s="455"/>
      <c r="K9" s="455"/>
      <c r="L9" s="455"/>
    </row>
    <row r="10" spans="1:12" ht="15" customHeight="1" x14ac:dyDescent="0.2">
      <c r="A10" s="392" t="s">
        <v>556</v>
      </c>
      <c r="B10" s="456" t="s">
        <v>1024</v>
      </c>
      <c r="C10" s="456" t="s">
        <v>443</v>
      </c>
      <c r="D10" s="456" t="s">
        <v>420</v>
      </c>
      <c r="E10" s="456" t="s">
        <v>420</v>
      </c>
      <c r="F10" s="456" t="s">
        <v>420</v>
      </c>
      <c r="G10" s="456" t="s">
        <v>420</v>
      </c>
      <c r="H10" s="452" t="s">
        <v>420</v>
      </c>
      <c r="I10" s="452" t="s">
        <v>420</v>
      </c>
      <c r="J10" s="452"/>
      <c r="K10" s="452" t="s">
        <v>443</v>
      </c>
      <c r="L10" s="452"/>
    </row>
    <row r="11" spans="1:12" ht="15" customHeight="1" thickBot="1" x14ac:dyDescent="0.25">
      <c r="A11" s="392"/>
      <c r="B11" s="392"/>
      <c r="C11" s="146"/>
      <c r="D11" s="146"/>
      <c r="E11" s="146"/>
      <c r="F11" s="146"/>
      <c r="G11" s="146"/>
      <c r="H11" s="146"/>
      <c r="I11" s="457"/>
      <c r="J11" s="457"/>
      <c r="K11" s="146"/>
      <c r="L11" s="457"/>
    </row>
    <row r="12" spans="1:12" ht="15.75" x14ac:dyDescent="0.25">
      <c r="A12" s="458"/>
      <c r="B12" s="796"/>
      <c r="C12" s="722"/>
      <c r="D12" s="720"/>
      <c r="E12" s="720" t="s">
        <v>557</v>
      </c>
      <c r="F12" s="723"/>
      <c r="G12" s="721"/>
      <c r="H12" s="168"/>
      <c r="I12" s="168"/>
      <c r="J12" s="168"/>
      <c r="K12" s="168"/>
      <c r="L12" s="168"/>
    </row>
    <row r="13" spans="1:12" ht="15" customHeight="1" x14ac:dyDescent="0.2">
      <c r="A13" s="459" t="s">
        <v>558</v>
      </c>
      <c r="B13" s="460">
        <v>3</v>
      </c>
      <c r="C13" s="460">
        <v>2</v>
      </c>
      <c r="D13" s="460">
        <v>5</v>
      </c>
      <c r="E13" s="460">
        <v>3</v>
      </c>
      <c r="F13" s="460">
        <v>3</v>
      </c>
      <c r="G13" s="461">
        <v>3</v>
      </c>
      <c r="H13" s="168"/>
      <c r="I13" s="168"/>
      <c r="J13" s="168"/>
      <c r="K13" s="168"/>
      <c r="L13" s="168"/>
    </row>
    <row r="14" spans="1:12" ht="15" customHeight="1" x14ac:dyDescent="0.2">
      <c r="A14" s="462" t="s">
        <v>559</v>
      </c>
      <c r="B14" s="452"/>
      <c r="C14" s="452">
        <v>3</v>
      </c>
      <c r="D14" s="452">
        <v>2</v>
      </c>
      <c r="E14" s="452"/>
      <c r="F14" s="452">
        <v>3</v>
      </c>
      <c r="G14" s="463"/>
      <c r="H14" s="168"/>
      <c r="I14" s="168"/>
      <c r="J14" s="168"/>
      <c r="K14" s="168"/>
      <c r="L14" s="168"/>
    </row>
    <row r="15" spans="1:12" ht="15" customHeight="1" x14ac:dyDescent="0.2">
      <c r="A15" s="459" t="s">
        <v>560</v>
      </c>
      <c r="B15" s="460">
        <v>0</v>
      </c>
      <c r="C15" s="460">
        <v>2</v>
      </c>
      <c r="D15" s="460">
        <v>5</v>
      </c>
      <c r="E15" s="460">
        <v>2</v>
      </c>
      <c r="F15" s="460"/>
      <c r="G15" s="461">
        <v>5</v>
      </c>
      <c r="H15" s="168"/>
      <c r="I15" s="168"/>
      <c r="J15" s="168"/>
      <c r="K15" s="168"/>
      <c r="L15" s="168"/>
    </row>
    <row r="16" spans="1:12" ht="15" customHeight="1" x14ac:dyDescent="0.2">
      <c r="A16" s="462" t="s">
        <v>561</v>
      </c>
      <c r="B16" s="452"/>
      <c r="C16" s="452">
        <v>2</v>
      </c>
      <c r="D16" s="452"/>
      <c r="E16" s="452">
        <v>1.5</v>
      </c>
      <c r="F16" s="452">
        <v>2</v>
      </c>
      <c r="G16" s="463">
        <v>2</v>
      </c>
      <c r="H16" s="168"/>
      <c r="I16" s="168"/>
      <c r="J16" s="168"/>
      <c r="K16" s="168"/>
      <c r="L16" s="168"/>
    </row>
    <row r="17" spans="1:12" ht="15" customHeight="1" x14ac:dyDescent="0.2">
      <c r="A17" s="459" t="s">
        <v>562</v>
      </c>
      <c r="B17" s="460"/>
      <c r="C17" s="460"/>
      <c r="D17" s="460"/>
      <c r="E17" s="460"/>
      <c r="F17" s="460">
        <v>3</v>
      </c>
      <c r="G17" s="461"/>
      <c r="H17" s="168"/>
      <c r="I17" s="168"/>
      <c r="J17" s="168"/>
      <c r="K17" s="168"/>
      <c r="L17" s="168"/>
    </row>
    <row r="18" spans="1:12" ht="15" customHeight="1" x14ac:dyDescent="0.2">
      <c r="A18" s="462" t="s">
        <v>563</v>
      </c>
      <c r="B18" s="452">
        <v>4</v>
      </c>
      <c r="C18" s="452">
        <v>2</v>
      </c>
      <c r="D18" s="452">
        <v>2</v>
      </c>
      <c r="E18" s="452"/>
      <c r="F18" s="452">
        <v>3</v>
      </c>
      <c r="G18" s="463">
        <v>3</v>
      </c>
      <c r="H18" s="168"/>
      <c r="I18" s="168"/>
      <c r="J18" s="168"/>
      <c r="K18" s="168"/>
      <c r="L18" s="168"/>
    </row>
    <row r="19" spans="1:12" ht="15" customHeight="1" x14ac:dyDescent="0.2">
      <c r="A19" s="459" t="s">
        <v>564</v>
      </c>
      <c r="B19" s="460">
        <v>2</v>
      </c>
      <c r="C19" s="460">
        <v>4</v>
      </c>
      <c r="D19" s="460"/>
      <c r="E19" s="460">
        <v>3</v>
      </c>
      <c r="F19" s="460"/>
      <c r="G19" s="461"/>
      <c r="H19" s="168"/>
      <c r="I19" s="168"/>
      <c r="J19" s="168"/>
      <c r="K19" s="168"/>
      <c r="L19" s="168"/>
    </row>
    <row r="20" spans="1:12" ht="15" customHeight="1" x14ac:dyDescent="0.2">
      <c r="A20" s="462" t="s">
        <v>565</v>
      </c>
      <c r="B20" s="452"/>
      <c r="C20" s="452"/>
      <c r="D20" s="452"/>
      <c r="E20" s="452"/>
      <c r="F20" s="464"/>
      <c r="G20" s="463">
        <v>3</v>
      </c>
      <c r="H20" s="168"/>
      <c r="I20" s="168"/>
      <c r="J20" s="168"/>
      <c r="K20" s="168"/>
      <c r="L20" s="168"/>
    </row>
    <row r="21" spans="1:12" ht="15" customHeight="1" thickBot="1" x14ac:dyDescent="0.25">
      <c r="A21" s="465" t="s">
        <v>566</v>
      </c>
      <c r="B21" s="466">
        <v>2</v>
      </c>
      <c r="C21" s="466">
        <v>5</v>
      </c>
      <c r="D21" s="466">
        <v>2</v>
      </c>
      <c r="E21" s="466">
        <v>3</v>
      </c>
      <c r="F21" s="466">
        <v>5</v>
      </c>
      <c r="G21" s="467">
        <v>3</v>
      </c>
      <c r="H21" s="168"/>
      <c r="I21" s="168"/>
      <c r="J21" s="168"/>
      <c r="K21" s="168"/>
      <c r="L21" s="168"/>
    </row>
    <row r="22" spans="1:12" ht="15" customHeight="1" x14ac:dyDescent="0.2">
      <c r="A22" s="468"/>
      <c r="B22" s="468"/>
      <c r="C22" s="469"/>
      <c r="D22" s="469"/>
      <c r="E22" s="469"/>
      <c r="F22" s="469"/>
      <c r="G22" s="470"/>
      <c r="H22" s="168"/>
      <c r="I22" s="168"/>
      <c r="J22" s="168"/>
      <c r="K22" s="168"/>
      <c r="L22" s="168"/>
    </row>
    <row r="23" spans="1:12" ht="15.75" x14ac:dyDescent="0.25">
      <c r="A23" s="471" t="s">
        <v>260</v>
      </c>
      <c r="B23" s="455" t="s">
        <v>417</v>
      </c>
      <c r="C23" s="455" t="s">
        <v>417</v>
      </c>
      <c r="D23" s="455" t="s">
        <v>417</v>
      </c>
      <c r="E23" s="455" t="s">
        <v>417</v>
      </c>
      <c r="F23" s="455" t="s">
        <v>417</v>
      </c>
      <c r="G23" s="455" t="s">
        <v>417</v>
      </c>
      <c r="H23" s="455"/>
      <c r="I23" s="455" t="s">
        <v>417</v>
      </c>
      <c r="J23" s="455" t="s">
        <v>567</v>
      </c>
      <c r="K23" s="455" t="s">
        <v>417</v>
      </c>
      <c r="L23" s="472"/>
    </row>
    <row r="24" spans="1:12" ht="15.75" x14ac:dyDescent="0.25">
      <c r="A24" s="451" t="s">
        <v>568</v>
      </c>
      <c r="B24" s="452" t="s">
        <v>417</v>
      </c>
      <c r="C24" s="452" t="s">
        <v>417</v>
      </c>
      <c r="D24" s="452" t="s">
        <v>417</v>
      </c>
      <c r="E24" s="452" t="s">
        <v>417</v>
      </c>
      <c r="F24" s="452" t="s">
        <v>417</v>
      </c>
      <c r="G24" s="452" t="s">
        <v>417</v>
      </c>
      <c r="H24" s="452" t="s">
        <v>417</v>
      </c>
      <c r="I24" s="473"/>
      <c r="J24" s="452" t="s">
        <v>417</v>
      </c>
      <c r="K24" s="452"/>
      <c r="L24" s="473"/>
    </row>
    <row r="25" spans="1:12" ht="15.75" x14ac:dyDescent="0.25">
      <c r="A25" s="471" t="s">
        <v>569</v>
      </c>
      <c r="B25" s="471"/>
      <c r="C25" s="455" t="s">
        <v>417</v>
      </c>
      <c r="D25" s="455"/>
      <c r="E25" s="455" t="s">
        <v>417</v>
      </c>
      <c r="F25" s="455"/>
      <c r="G25" s="455" t="s">
        <v>417</v>
      </c>
      <c r="H25" s="455"/>
      <c r="I25" s="472"/>
      <c r="J25" s="472"/>
      <c r="K25" s="455"/>
      <c r="L25" s="472"/>
    </row>
    <row r="26" spans="1:12" ht="15.75" x14ac:dyDescent="0.2">
      <c r="A26" s="474" t="s">
        <v>570</v>
      </c>
      <c r="B26" s="793"/>
      <c r="C26" s="452" t="s">
        <v>417</v>
      </c>
      <c r="D26" s="452" t="s">
        <v>417</v>
      </c>
      <c r="E26" s="452"/>
      <c r="F26" s="452" t="s">
        <v>417</v>
      </c>
      <c r="G26" s="452" t="s">
        <v>417</v>
      </c>
      <c r="H26" s="452"/>
      <c r="I26" s="385"/>
      <c r="J26" s="385"/>
      <c r="K26" s="452"/>
      <c r="L26" s="385"/>
    </row>
    <row r="27" spans="1:12" ht="15.75" x14ac:dyDescent="0.25">
      <c r="A27" s="471" t="s">
        <v>571</v>
      </c>
      <c r="B27" s="455" t="s">
        <v>417</v>
      </c>
      <c r="C27" s="455"/>
      <c r="D27" s="455"/>
      <c r="E27" s="455" t="s">
        <v>417</v>
      </c>
      <c r="F27" s="455" t="s">
        <v>417</v>
      </c>
      <c r="G27" s="455" t="s">
        <v>417</v>
      </c>
      <c r="H27" s="455"/>
      <c r="I27" s="472"/>
      <c r="J27" s="472"/>
      <c r="K27" s="455"/>
      <c r="L27" s="472"/>
    </row>
    <row r="28" spans="1:12" ht="15.75" x14ac:dyDescent="0.2">
      <c r="A28" s="474" t="s">
        <v>572</v>
      </c>
      <c r="B28" s="793"/>
      <c r="C28" s="452"/>
      <c r="D28" s="452"/>
      <c r="E28" s="452" t="s">
        <v>417</v>
      </c>
      <c r="F28" s="452" t="s">
        <v>417</v>
      </c>
      <c r="G28" s="452" t="s">
        <v>417</v>
      </c>
      <c r="H28" s="452"/>
      <c r="I28" s="385"/>
      <c r="J28" s="385"/>
      <c r="K28" s="452"/>
      <c r="L28" s="385"/>
    </row>
    <row r="29" spans="1:12" ht="15.75" x14ac:dyDescent="0.25">
      <c r="A29" s="471" t="s">
        <v>573</v>
      </c>
      <c r="B29" s="471"/>
      <c r="C29" s="455"/>
      <c r="D29" s="455"/>
      <c r="E29" s="455" t="s">
        <v>417</v>
      </c>
      <c r="F29" s="455" t="s">
        <v>417</v>
      </c>
      <c r="G29" s="455" t="s">
        <v>417</v>
      </c>
      <c r="H29" s="455"/>
      <c r="I29" s="472"/>
      <c r="J29" s="472"/>
      <c r="K29" s="455"/>
      <c r="L29" s="472"/>
    </row>
    <row r="30" spans="1:12" ht="15.75" x14ac:dyDescent="0.2">
      <c r="A30" s="474" t="s">
        <v>574</v>
      </c>
      <c r="B30" s="452" t="s">
        <v>417</v>
      </c>
      <c r="C30" s="452" t="s">
        <v>417</v>
      </c>
      <c r="D30" s="452"/>
      <c r="E30" s="452"/>
      <c r="F30" s="452" t="s">
        <v>417</v>
      </c>
      <c r="G30" s="452"/>
      <c r="H30" s="452"/>
      <c r="I30" s="385"/>
      <c r="J30" s="385"/>
      <c r="K30" s="452"/>
      <c r="L30" s="385"/>
    </row>
    <row r="31" spans="1:12" ht="15.75" x14ac:dyDescent="0.25">
      <c r="A31" s="471" t="s">
        <v>575</v>
      </c>
      <c r="B31" s="471"/>
      <c r="C31" s="455" t="s">
        <v>417</v>
      </c>
      <c r="D31" s="455"/>
      <c r="E31" s="455"/>
      <c r="F31" s="455"/>
      <c r="G31" s="455" t="s">
        <v>417</v>
      </c>
      <c r="H31" s="455"/>
      <c r="I31" s="472"/>
      <c r="J31" s="472"/>
      <c r="K31" s="455"/>
      <c r="L31" s="472"/>
    </row>
    <row r="32" spans="1:12" ht="15.75" x14ac:dyDescent="0.2">
      <c r="A32" s="474" t="s">
        <v>576</v>
      </c>
      <c r="B32" s="452" t="s">
        <v>417</v>
      </c>
      <c r="C32" s="452"/>
      <c r="D32" s="452"/>
      <c r="E32" s="452"/>
      <c r="F32" s="452"/>
      <c r="G32" s="452" t="s">
        <v>417</v>
      </c>
      <c r="H32" s="452"/>
      <c r="I32" s="385"/>
      <c r="J32" s="385"/>
      <c r="K32" s="452"/>
      <c r="L32" s="385"/>
    </row>
    <row r="33" spans="1:12" ht="15.75" x14ac:dyDescent="0.25">
      <c r="A33" s="471" t="s">
        <v>577</v>
      </c>
      <c r="B33" s="471"/>
      <c r="C33" s="455" t="s">
        <v>166</v>
      </c>
      <c r="D33" s="455" t="s">
        <v>171</v>
      </c>
      <c r="E33" s="455" t="s">
        <v>171</v>
      </c>
      <c r="F33" s="455" t="s">
        <v>166</v>
      </c>
      <c r="G33" s="455"/>
      <c r="H33" s="455"/>
      <c r="I33" s="472"/>
      <c r="J33" s="472"/>
      <c r="K33" s="455"/>
      <c r="L33" s="472"/>
    </row>
    <row r="34" spans="1:12" ht="15.75" x14ac:dyDescent="0.2">
      <c r="A34" s="474" t="s">
        <v>578</v>
      </c>
      <c r="B34" s="793"/>
      <c r="C34" s="452" t="s">
        <v>422</v>
      </c>
      <c r="D34" s="452" t="s">
        <v>422</v>
      </c>
      <c r="E34" s="452" t="s">
        <v>422</v>
      </c>
      <c r="F34" s="452" t="s">
        <v>422</v>
      </c>
      <c r="G34" s="452"/>
      <c r="H34" s="452"/>
      <c r="I34" s="385"/>
      <c r="J34" s="385"/>
      <c r="K34" s="452"/>
      <c r="L34" s="385"/>
    </row>
    <row r="35" spans="1:12" ht="15.75" x14ac:dyDescent="0.25">
      <c r="A35" s="471" t="s">
        <v>520</v>
      </c>
      <c r="B35" s="455" t="s">
        <v>521</v>
      </c>
      <c r="C35" s="455" t="s">
        <v>166</v>
      </c>
      <c r="D35" s="455" t="s">
        <v>166</v>
      </c>
      <c r="E35" s="455" t="s">
        <v>166</v>
      </c>
      <c r="F35" s="455" t="s">
        <v>166</v>
      </c>
      <c r="G35" s="455"/>
      <c r="H35" s="455"/>
      <c r="I35" s="472"/>
      <c r="J35" s="472"/>
      <c r="K35" s="455"/>
      <c r="L35" s="472"/>
    </row>
    <row r="36" spans="1:12" ht="15.75" x14ac:dyDescent="0.2">
      <c r="A36" s="474" t="s">
        <v>579</v>
      </c>
      <c r="B36" s="793"/>
      <c r="C36" s="452" t="s">
        <v>580</v>
      </c>
      <c r="D36" s="452"/>
      <c r="E36" s="452"/>
      <c r="F36" s="452" t="s">
        <v>580</v>
      </c>
      <c r="G36" s="452"/>
      <c r="H36" s="452"/>
      <c r="I36" s="385"/>
      <c r="J36" s="385"/>
      <c r="K36" s="452"/>
      <c r="L36" s="385"/>
    </row>
    <row r="37" spans="1:12" ht="15.75" x14ac:dyDescent="0.25">
      <c r="A37" s="471" t="s">
        <v>581</v>
      </c>
      <c r="B37" s="455" t="s">
        <v>521</v>
      </c>
      <c r="C37" s="455" t="s">
        <v>580</v>
      </c>
      <c r="D37" s="455" t="s">
        <v>580</v>
      </c>
      <c r="E37" s="455" t="s">
        <v>580</v>
      </c>
      <c r="F37" s="455" t="s">
        <v>580</v>
      </c>
      <c r="G37" s="455"/>
      <c r="H37" s="455"/>
      <c r="I37" s="472"/>
      <c r="J37" s="472"/>
      <c r="K37" s="455"/>
      <c r="L37" s="472"/>
    </row>
    <row r="38" spans="1:12" ht="15.75" x14ac:dyDescent="0.2">
      <c r="A38" s="474" t="s">
        <v>582</v>
      </c>
      <c r="B38" s="452" t="s">
        <v>1025</v>
      </c>
      <c r="C38" s="452" t="s">
        <v>583</v>
      </c>
      <c r="D38" s="452" t="s">
        <v>584</v>
      </c>
      <c r="E38" s="452" t="s">
        <v>585</v>
      </c>
      <c r="F38" s="452" t="s">
        <v>583</v>
      </c>
      <c r="G38" s="452"/>
      <c r="H38" s="452" t="s">
        <v>586</v>
      </c>
      <c r="I38" s="452" t="s">
        <v>587</v>
      </c>
      <c r="J38" s="452" t="s">
        <v>587</v>
      </c>
      <c r="K38" s="452"/>
      <c r="L38" s="385" t="s">
        <v>588</v>
      </c>
    </row>
    <row r="39" spans="1:12" ht="124.5" x14ac:dyDescent="0.2">
      <c r="A39" s="475" t="s">
        <v>333</v>
      </c>
      <c r="B39" s="476" t="s">
        <v>1026</v>
      </c>
      <c r="C39" s="476" t="s">
        <v>589</v>
      </c>
      <c r="D39" s="476" t="s">
        <v>590</v>
      </c>
      <c r="E39" s="477" t="s">
        <v>591</v>
      </c>
      <c r="F39" s="476" t="s">
        <v>592</v>
      </c>
      <c r="G39" s="476" t="s">
        <v>593</v>
      </c>
      <c r="H39" s="476" t="s">
        <v>594</v>
      </c>
      <c r="I39" s="478" t="s">
        <v>595</v>
      </c>
      <c r="J39" s="478" t="s">
        <v>596</v>
      </c>
      <c r="K39" s="478" t="s">
        <v>597</v>
      </c>
      <c r="L39" s="478" t="s">
        <v>598</v>
      </c>
    </row>
    <row r="40" spans="1:12" ht="36" customHeight="1" x14ac:dyDescent="0.2">
      <c r="A40" s="168"/>
      <c r="B40" s="453" t="s">
        <v>1022</v>
      </c>
      <c r="C40" s="453" t="s">
        <v>524</v>
      </c>
      <c r="D40" s="453" t="s">
        <v>525</v>
      </c>
      <c r="E40" s="453" t="s">
        <v>526</v>
      </c>
      <c r="F40" s="453" t="s">
        <v>527</v>
      </c>
      <c r="G40" s="453" t="s">
        <v>528</v>
      </c>
      <c r="H40" s="453" t="s">
        <v>529</v>
      </c>
      <c r="I40" s="453" t="s">
        <v>530</v>
      </c>
      <c r="J40" s="453" t="s">
        <v>531</v>
      </c>
      <c r="K40" s="453" t="s">
        <v>532</v>
      </c>
      <c r="L40" s="453" t="s">
        <v>533</v>
      </c>
    </row>
  </sheetData>
  <sheetProtection sheet="1" objects="1" scenarios="1" formatCells="0"/>
  <mergeCells count="1">
    <mergeCell ref="A1:L1"/>
  </mergeCells>
  <pageMargins left="0.7" right="0.7" top="0.75" bottom="0.75" header="0.3" footer="0.3"/>
  <pageSetup orientation="portrait" horizontalDpi="4294967294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0" workbookViewId="0">
      <selection activeCell="H18" sqref="H18"/>
    </sheetView>
  </sheetViews>
  <sheetFormatPr defaultRowHeight="15" x14ac:dyDescent="0.25"/>
  <cols>
    <col min="1" max="1" width="13.140625" style="871" customWidth="1"/>
    <col min="2" max="2" width="9.140625" style="871"/>
    <col min="3" max="3" width="8.7109375" style="871" customWidth="1"/>
    <col min="4" max="4" width="8.85546875" style="871" customWidth="1"/>
    <col min="5" max="5" width="13.85546875" style="871" customWidth="1"/>
    <col min="6" max="6" width="8.42578125" style="871" customWidth="1"/>
    <col min="7" max="7" width="20.5703125" style="871" customWidth="1"/>
    <col min="8" max="8" width="10.85546875" style="886" customWidth="1"/>
    <col min="9" max="9" width="10.140625" style="886" customWidth="1"/>
    <col min="10" max="10" width="12.42578125" style="886" customWidth="1"/>
    <col min="11" max="11" width="12.140625" style="886" customWidth="1"/>
    <col min="12" max="256" width="9.140625" style="871"/>
    <col min="257" max="257" width="12.140625" style="871" customWidth="1"/>
    <col min="258" max="258" width="9.140625" style="871"/>
    <col min="259" max="259" width="8.7109375" style="871" customWidth="1"/>
    <col min="260" max="260" width="8.85546875" style="871" customWidth="1"/>
    <col min="261" max="261" width="13.85546875" style="871" customWidth="1"/>
    <col min="262" max="262" width="8.42578125" style="871" customWidth="1"/>
    <col min="263" max="263" width="14.7109375" style="871" customWidth="1"/>
    <col min="264" max="264" width="10.85546875" style="871" customWidth="1"/>
    <col min="265" max="265" width="10.140625" style="871" customWidth="1"/>
    <col min="266" max="266" width="12.42578125" style="871" customWidth="1"/>
    <col min="267" max="267" width="12.140625" style="871" bestFit="1" customWidth="1"/>
    <col min="268" max="512" width="9.140625" style="871"/>
    <col min="513" max="513" width="12.140625" style="871" customWidth="1"/>
    <col min="514" max="514" width="9.140625" style="871"/>
    <col min="515" max="515" width="8.7109375" style="871" customWidth="1"/>
    <col min="516" max="516" width="8.85546875" style="871" customWidth="1"/>
    <col min="517" max="517" width="13.85546875" style="871" customWidth="1"/>
    <col min="518" max="518" width="8.42578125" style="871" customWidth="1"/>
    <col min="519" max="519" width="14.7109375" style="871" customWidth="1"/>
    <col min="520" max="520" width="10.85546875" style="871" customWidth="1"/>
    <col min="521" max="521" width="10.140625" style="871" customWidth="1"/>
    <col min="522" max="522" width="12.42578125" style="871" customWidth="1"/>
    <col min="523" max="523" width="12.140625" style="871" bestFit="1" customWidth="1"/>
    <col min="524" max="768" width="9.140625" style="871"/>
    <col min="769" max="769" width="12.140625" style="871" customWidth="1"/>
    <col min="770" max="770" width="9.140625" style="871"/>
    <col min="771" max="771" width="8.7109375" style="871" customWidth="1"/>
    <col min="772" max="772" width="8.85546875" style="871" customWidth="1"/>
    <col min="773" max="773" width="13.85546875" style="871" customWidth="1"/>
    <col min="774" max="774" width="8.42578125" style="871" customWidth="1"/>
    <col min="775" max="775" width="14.7109375" style="871" customWidth="1"/>
    <col min="776" max="776" width="10.85546875" style="871" customWidth="1"/>
    <col min="777" max="777" width="10.140625" style="871" customWidth="1"/>
    <col min="778" max="778" width="12.42578125" style="871" customWidth="1"/>
    <col min="779" max="779" width="12.140625" style="871" bestFit="1" customWidth="1"/>
    <col min="780" max="1024" width="9.140625" style="871"/>
    <col min="1025" max="1025" width="12.140625" style="871" customWidth="1"/>
    <col min="1026" max="1026" width="9.140625" style="871"/>
    <col min="1027" max="1027" width="8.7109375" style="871" customWidth="1"/>
    <col min="1028" max="1028" width="8.85546875" style="871" customWidth="1"/>
    <col min="1029" max="1029" width="13.85546875" style="871" customWidth="1"/>
    <col min="1030" max="1030" width="8.42578125" style="871" customWidth="1"/>
    <col min="1031" max="1031" width="14.7109375" style="871" customWidth="1"/>
    <col min="1032" max="1032" width="10.85546875" style="871" customWidth="1"/>
    <col min="1033" max="1033" width="10.140625" style="871" customWidth="1"/>
    <col min="1034" max="1034" width="12.42578125" style="871" customWidth="1"/>
    <col min="1035" max="1035" width="12.140625" style="871" bestFit="1" customWidth="1"/>
    <col min="1036" max="1280" width="9.140625" style="871"/>
    <col min="1281" max="1281" width="12.140625" style="871" customWidth="1"/>
    <col min="1282" max="1282" width="9.140625" style="871"/>
    <col min="1283" max="1283" width="8.7109375" style="871" customWidth="1"/>
    <col min="1284" max="1284" width="8.85546875" style="871" customWidth="1"/>
    <col min="1285" max="1285" width="13.85546875" style="871" customWidth="1"/>
    <col min="1286" max="1286" width="8.42578125" style="871" customWidth="1"/>
    <col min="1287" max="1287" width="14.7109375" style="871" customWidth="1"/>
    <col min="1288" max="1288" width="10.85546875" style="871" customWidth="1"/>
    <col min="1289" max="1289" width="10.140625" style="871" customWidth="1"/>
    <col min="1290" max="1290" width="12.42578125" style="871" customWidth="1"/>
    <col min="1291" max="1291" width="12.140625" style="871" bestFit="1" customWidth="1"/>
    <col min="1292" max="1536" width="9.140625" style="871"/>
    <col min="1537" max="1537" width="12.140625" style="871" customWidth="1"/>
    <col min="1538" max="1538" width="9.140625" style="871"/>
    <col min="1539" max="1539" width="8.7109375" style="871" customWidth="1"/>
    <col min="1540" max="1540" width="8.85546875" style="871" customWidth="1"/>
    <col min="1541" max="1541" width="13.85546875" style="871" customWidth="1"/>
    <col min="1542" max="1542" width="8.42578125" style="871" customWidth="1"/>
    <col min="1543" max="1543" width="14.7109375" style="871" customWidth="1"/>
    <col min="1544" max="1544" width="10.85546875" style="871" customWidth="1"/>
    <col min="1545" max="1545" width="10.140625" style="871" customWidth="1"/>
    <col min="1546" max="1546" width="12.42578125" style="871" customWidth="1"/>
    <col min="1547" max="1547" width="12.140625" style="871" bestFit="1" customWidth="1"/>
    <col min="1548" max="1792" width="9.140625" style="871"/>
    <col min="1793" max="1793" width="12.140625" style="871" customWidth="1"/>
    <col min="1794" max="1794" width="9.140625" style="871"/>
    <col min="1795" max="1795" width="8.7109375" style="871" customWidth="1"/>
    <col min="1796" max="1796" width="8.85546875" style="871" customWidth="1"/>
    <col min="1797" max="1797" width="13.85546875" style="871" customWidth="1"/>
    <col min="1798" max="1798" width="8.42578125" style="871" customWidth="1"/>
    <col min="1799" max="1799" width="14.7109375" style="871" customWidth="1"/>
    <col min="1800" max="1800" width="10.85546875" style="871" customWidth="1"/>
    <col min="1801" max="1801" width="10.140625" style="871" customWidth="1"/>
    <col min="1802" max="1802" width="12.42578125" style="871" customWidth="1"/>
    <col min="1803" max="1803" width="12.140625" style="871" bestFit="1" customWidth="1"/>
    <col min="1804" max="2048" width="9.140625" style="871"/>
    <col min="2049" max="2049" width="12.140625" style="871" customWidth="1"/>
    <col min="2050" max="2050" width="9.140625" style="871"/>
    <col min="2051" max="2051" width="8.7109375" style="871" customWidth="1"/>
    <col min="2052" max="2052" width="8.85546875" style="871" customWidth="1"/>
    <col min="2053" max="2053" width="13.85546875" style="871" customWidth="1"/>
    <col min="2054" max="2054" width="8.42578125" style="871" customWidth="1"/>
    <col min="2055" max="2055" width="14.7109375" style="871" customWidth="1"/>
    <col min="2056" max="2056" width="10.85546875" style="871" customWidth="1"/>
    <col min="2057" max="2057" width="10.140625" style="871" customWidth="1"/>
    <col min="2058" max="2058" width="12.42578125" style="871" customWidth="1"/>
    <col min="2059" max="2059" width="12.140625" style="871" bestFit="1" customWidth="1"/>
    <col min="2060" max="2304" width="9.140625" style="871"/>
    <col min="2305" max="2305" width="12.140625" style="871" customWidth="1"/>
    <col min="2306" max="2306" width="9.140625" style="871"/>
    <col min="2307" max="2307" width="8.7109375" style="871" customWidth="1"/>
    <col min="2308" max="2308" width="8.85546875" style="871" customWidth="1"/>
    <col min="2309" max="2309" width="13.85546875" style="871" customWidth="1"/>
    <col min="2310" max="2310" width="8.42578125" style="871" customWidth="1"/>
    <col min="2311" max="2311" width="14.7109375" style="871" customWidth="1"/>
    <col min="2312" max="2312" width="10.85546875" style="871" customWidth="1"/>
    <col min="2313" max="2313" width="10.140625" style="871" customWidth="1"/>
    <col min="2314" max="2314" width="12.42578125" style="871" customWidth="1"/>
    <col min="2315" max="2315" width="12.140625" style="871" bestFit="1" customWidth="1"/>
    <col min="2316" max="2560" width="9.140625" style="871"/>
    <col min="2561" max="2561" width="12.140625" style="871" customWidth="1"/>
    <col min="2562" max="2562" width="9.140625" style="871"/>
    <col min="2563" max="2563" width="8.7109375" style="871" customWidth="1"/>
    <col min="2564" max="2564" width="8.85546875" style="871" customWidth="1"/>
    <col min="2565" max="2565" width="13.85546875" style="871" customWidth="1"/>
    <col min="2566" max="2566" width="8.42578125" style="871" customWidth="1"/>
    <col min="2567" max="2567" width="14.7109375" style="871" customWidth="1"/>
    <col min="2568" max="2568" width="10.85546875" style="871" customWidth="1"/>
    <col min="2569" max="2569" width="10.140625" style="871" customWidth="1"/>
    <col min="2570" max="2570" width="12.42578125" style="871" customWidth="1"/>
    <col min="2571" max="2571" width="12.140625" style="871" bestFit="1" customWidth="1"/>
    <col min="2572" max="2816" width="9.140625" style="871"/>
    <col min="2817" max="2817" width="12.140625" style="871" customWidth="1"/>
    <col min="2818" max="2818" width="9.140625" style="871"/>
    <col min="2819" max="2819" width="8.7109375" style="871" customWidth="1"/>
    <col min="2820" max="2820" width="8.85546875" style="871" customWidth="1"/>
    <col min="2821" max="2821" width="13.85546875" style="871" customWidth="1"/>
    <col min="2822" max="2822" width="8.42578125" style="871" customWidth="1"/>
    <col min="2823" max="2823" width="14.7109375" style="871" customWidth="1"/>
    <col min="2824" max="2824" width="10.85546875" style="871" customWidth="1"/>
    <col min="2825" max="2825" width="10.140625" style="871" customWidth="1"/>
    <col min="2826" max="2826" width="12.42578125" style="871" customWidth="1"/>
    <col min="2827" max="2827" width="12.140625" style="871" bestFit="1" customWidth="1"/>
    <col min="2828" max="3072" width="9.140625" style="871"/>
    <col min="3073" max="3073" width="12.140625" style="871" customWidth="1"/>
    <col min="3074" max="3074" width="9.140625" style="871"/>
    <col min="3075" max="3075" width="8.7109375" style="871" customWidth="1"/>
    <col min="3076" max="3076" width="8.85546875" style="871" customWidth="1"/>
    <col min="3077" max="3077" width="13.85546875" style="871" customWidth="1"/>
    <col min="3078" max="3078" width="8.42578125" style="871" customWidth="1"/>
    <col min="3079" max="3079" width="14.7109375" style="871" customWidth="1"/>
    <col min="3080" max="3080" width="10.85546875" style="871" customWidth="1"/>
    <col min="3081" max="3081" width="10.140625" style="871" customWidth="1"/>
    <col min="3082" max="3082" width="12.42578125" style="871" customWidth="1"/>
    <col min="3083" max="3083" width="12.140625" style="871" bestFit="1" customWidth="1"/>
    <col min="3084" max="3328" width="9.140625" style="871"/>
    <col min="3329" max="3329" width="12.140625" style="871" customWidth="1"/>
    <col min="3330" max="3330" width="9.140625" style="871"/>
    <col min="3331" max="3331" width="8.7109375" style="871" customWidth="1"/>
    <col min="3332" max="3332" width="8.85546875" style="871" customWidth="1"/>
    <col min="3333" max="3333" width="13.85546875" style="871" customWidth="1"/>
    <col min="3334" max="3334" width="8.42578125" style="871" customWidth="1"/>
    <col min="3335" max="3335" width="14.7109375" style="871" customWidth="1"/>
    <col min="3336" max="3336" width="10.85546875" style="871" customWidth="1"/>
    <col min="3337" max="3337" width="10.140625" style="871" customWidth="1"/>
    <col min="3338" max="3338" width="12.42578125" style="871" customWidth="1"/>
    <col min="3339" max="3339" width="12.140625" style="871" bestFit="1" customWidth="1"/>
    <col min="3340" max="3584" width="9.140625" style="871"/>
    <col min="3585" max="3585" width="12.140625" style="871" customWidth="1"/>
    <col min="3586" max="3586" width="9.140625" style="871"/>
    <col min="3587" max="3587" width="8.7109375" style="871" customWidth="1"/>
    <col min="3588" max="3588" width="8.85546875" style="871" customWidth="1"/>
    <col min="3589" max="3589" width="13.85546875" style="871" customWidth="1"/>
    <col min="3590" max="3590" width="8.42578125" style="871" customWidth="1"/>
    <col min="3591" max="3591" width="14.7109375" style="871" customWidth="1"/>
    <col min="3592" max="3592" width="10.85546875" style="871" customWidth="1"/>
    <col min="3593" max="3593" width="10.140625" style="871" customWidth="1"/>
    <col min="3594" max="3594" width="12.42578125" style="871" customWidth="1"/>
    <col min="3595" max="3595" width="12.140625" style="871" bestFit="1" customWidth="1"/>
    <col min="3596" max="3840" width="9.140625" style="871"/>
    <col min="3841" max="3841" width="12.140625" style="871" customWidth="1"/>
    <col min="3842" max="3842" width="9.140625" style="871"/>
    <col min="3843" max="3843" width="8.7109375" style="871" customWidth="1"/>
    <col min="3844" max="3844" width="8.85546875" style="871" customWidth="1"/>
    <col min="3845" max="3845" width="13.85546875" style="871" customWidth="1"/>
    <col min="3846" max="3846" width="8.42578125" style="871" customWidth="1"/>
    <col min="3847" max="3847" width="14.7109375" style="871" customWidth="1"/>
    <col min="3848" max="3848" width="10.85546875" style="871" customWidth="1"/>
    <col min="3849" max="3849" width="10.140625" style="871" customWidth="1"/>
    <col min="3850" max="3850" width="12.42578125" style="871" customWidth="1"/>
    <col min="3851" max="3851" width="12.140625" style="871" bestFit="1" customWidth="1"/>
    <col min="3852" max="4096" width="9.140625" style="871"/>
    <col min="4097" max="4097" width="12.140625" style="871" customWidth="1"/>
    <col min="4098" max="4098" width="9.140625" style="871"/>
    <col min="4099" max="4099" width="8.7109375" style="871" customWidth="1"/>
    <col min="4100" max="4100" width="8.85546875" style="871" customWidth="1"/>
    <col min="4101" max="4101" width="13.85546875" style="871" customWidth="1"/>
    <col min="4102" max="4102" width="8.42578125" style="871" customWidth="1"/>
    <col min="4103" max="4103" width="14.7109375" style="871" customWidth="1"/>
    <col min="4104" max="4104" width="10.85546875" style="871" customWidth="1"/>
    <col min="4105" max="4105" width="10.140625" style="871" customWidth="1"/>
    <col min="4106" max="4106" width="12.42578125" style="871" customWidth="1"/>
    <col min="4107" max="4107" width="12.140625" style="871" bestFit="1" customWidth="1"/>
    <col min="4108" max="4352" width="9.140625" style="871"/>
    <col min="4353" max="4353" width="12.140625" style="871" customWidth="1"/>
    <col min="4354" max="4354" width="9.140625" style="871"/>
    <col min="4355" max="4355" width="8.7109375" style="871" customWidth="1"/>
    <col min="4356" max="4356" width="8.85546875" style="871" customWidth="1"/>
    <col min="4357" max="4357" width="13.85546875" style="871" customWidth="1"/>
    <col min="4358" max="4358" width="8.42578125" style="871" customWidth="1"/>
    <col min="4359" max="4359" width="14.7109375" style="871" customWidth="1"/>
    <col min="4360" max="4360" width="10.85546875" style="871" customWidth="1"/>
    <col min="4361" max="4361" width="10.140625" style="871" customWidth="1"/>
    <col min="4362" max="4362" width="12.42578125" style="871" customWidth="1"/>
    <col min="4363" max="4363" width="12.140625" style="871" bestFit="1" customWidth="1"/>
    <col min="4364" max="4608" width="9.140625" style="871"/>
    <col min="4609" max="4609" width="12.140625" style="871" customWidth="1"/>
    <col min="4610" max="4610" width="9.140625" style="871"/>
    <col min="4611" max="4611" width="8.7109375" style="871" customWidth="1"/>
    <col min="4612" max="4612" width="8.85546875" style="871" customWidth="1"/>
    <col min="4613" max="4613" width="13.85546875" style="871" customWidth="1"/>
    <col min="4614" max="4614" width="8.42578125" style="871" customWidth="1"/>
    <col min="4615" max="4615" width="14.7109375" style="871" customWidth="1"/>
    <col min="4616" max="4616" width="10.85546875" style="871" customWidth="1"/>
    <col min="4617" max="4617" width="10.140625" style="871" customWidth="1"/>
    <col min="4618" max="4618" width="12.42578125" style="871" customWidth="1"/>
    <col min="4619" max="4619" width="12.140625" style="871" bestFit="1" customWidth="1"/>
    <col min="4620" max="4864" width="9.140625" style="871"/>
    <col min="4865" max="4865" width="12.140625" style="871" customWidth="1"/>
    <col min="4866" max="4866" width="9.140625" style="871"/>
    <col min="4867" max="4867" width="8.7109375" style="871" customWidth="1"/>
    <col min="4868" max="4868" width="8.85546875" style="871" customWidth="1"/>
    <col min="4869" max="4869" width="13.85546875" style="871" customWidth="1"/>
    <col min="4870" max="4870" width="8.42578125" style="871" customWidth="1"/>
    <col min="4871" max="4871" width="14.7109375" style="871" customWidth="1"/>
    <col min="4872" max="4872" width="10.85546875" style="871" customWidth="1"/>
    <col min="4873" max="4873" width="10.140625" style="871" customWidth="1"/>
    <col min="4874" max="4874" width="12.42578125" style="871" customWidth="1"/>
    <col min="4875" max="4875" width="12.140625" style="871" bestFit="1" customWidth="1"/>
    <col min="4876" max="5120" width="9.140625" style="871"/>
    <col min="5121" max="5121" width="12.140625" style="871" customWidth="1"/>
    <col min="5122" max="5122" width="9.140625" style="871"/>
    <col min="5123" max="5123" width="8.7109375" style="871" customWidth="1"/>
    <col min="5124" max="5124" width="8.85546875" style="871" customWidth="1"/>
    <col min="5125" max="5125" width="13.85546875" style="871" customWidth="1"/>
    <col min="5126" max="5126" width="8.42578125" style="871" customWidth="1"/>
    <col min="5127" max="5127" width="14.7109375" style="871" customWidth="1"/>
    <col min="5128" max="5128" width="10.85546875" style="871" customWidth="1"/>
    <col min="5129" max="5129" width="10.140625" style="871" customWidth="1"/>
    <col min="5130" max="5130" width="12.42578125" style="871" customWidth="1"/>
    <col min="5131" max="5131" width="12.140625" style="871" bestFit="1" customWidth="1"/>
    <col min="5132" max="5376" width="9.140625" style="871"/>
    <col min="5377" max="5377" width="12.140625" style="871" customWidth="1"/>
    <col min="5378" max="5378" width="9.140625" style="871"/>
    <col min="5379" max="5379" width="8.7109375" style="871" customWidth="1"/>
    <col min="5380" max="5380" width="8.85546875" style="871" customWidth="1"/>
    <col min="5381" max="5381" width="13.85546875" style="871" customWidth="1"/>
    <col min="5382" max="5382" width="8.42578125" style="871" customWidth="1"/>
    <col min="5383" max="5383" width="14.7109375" style="871" customWidth="1"/>
    <col min="5384" max="5384" width="10.85546875" style="871" customWidth="1"/>
    <col min="5385" max="5385" width="10.140625" style="871" customWidth="1"/>
    <col min="5386" max="5386" width="12.42578125" style="871" customWidth="1"/>
    <col min="5387" max="5387" width="12.140625" style="871" bestFit="1" customWidth="1"/>
    <col min="5388" max="5632" width="9.140625" style="871"/>
    <col min="5633" max="5633" width="12.140625" style="871" customWidth="1"/>
    <col min="5634" max="5634" width="9.140625" style="871"/>
    <col min="5635" max="5635" width="8.7109375" style="871" customWidth="1"/>
    <col min="5636" max="5636" width="8.85546875" style="871" customWidth="1"/>
    <col min="5637" max="5637" width="13.85546875" style="871" customWidth="1"/>
    <col min="5638" max="5638" width="8.42578125" style="871" customWidth="1"/>
    <col min="5639" max="5639" width="14.7109375" style="871" customWidth="1"/>
    <col min="5640" max="5640" width="10.85546875" style="871" customWidth="1"/>
    <col min="5641" max="5641" width="10.140625" style="871" customWidth="1"/>
    <col min="5642" max="5642" width="12.42578125" style="871" customWidth="1"/>
    <col min="5643" max="5643" width="12.140625" style="871" bestFit="1" customWidth="1"/>
    <col min="5644" max="5888" width="9.140625" style="871"/>
    <col min="5889" max="5889" width="12.140625" style="871" customWidth="1"/>
    <col min="5890" max="5890" width="9.140625" style="871"/>
    <col min="5891" max="5891" width="8.7109375" style="871" customWidth="1"/>
    <col min="5892" max="5892" width="8.85546875" style="871" customWidth="1"/>
    <col min="5893" max="5893" width="13.85546875" style="871" customWidth="1"/>
    <col min="5894" max="5894" width="8.42578125" style="871" customWidth="1"/>
    <col min="5895" max="5895" width="14.7109375" style="871" customWidth="1"/>
    <col min="5896" max="5896" width="10.85546875" style="871" customWidth="1"/>
    <col min="5897" max="5897" width="10.140625" style="871" customWidth="1"/>
    <col min="5898" max="5898" width="12.42578125" style="871" customWidth="1"/>
    <col min="5899" max="5899" width="12.140625" style="871" bestFit="1" customWidth="1"/>
    <col min="5900" max="6144" width="9.140625" style="871"/>
    <col min="6145" max="6145" width="12.140625" style="871" customWidth="1"/>
    <col min="6146" max="6146" width="9.140625" style="871"/>
    <col min="6147" max="6147" width="8.7109375" style="871" customWidth="1"/>
    <col min="6148" max="6148" width="8.85546875" style="871" customWidth="1"/>
    <col min="6149" max="6149" width="13.85546875" style="871" customWidth="1"/>
    <col min="6150" max="6150" width="8.42578125" style="871" customWidth="1"/>
    <col min="6151" max="6151" width="14.7109375" style="871" customWidth="1"/>
    <col min="6152" max="6152" width="10.85546875" style="871" customWidth="1"/>
    <col min="6153" max="6153" width="10.140625" style="871" customWidth="1"/>
    <col min="6154" max="6154" width="12.42578125" style="871" customWidth="1"/>
    <col min="6155" max="6155" width="12.140625" style="871" bestFit="1" customWidth="1"/>
    <col min="6156" max="6400" width="9.140625" style="871"/>
    <col min="6401" max="6401" width="12.140625" style="871" customWidth="1"/>
    <col min="6402" max="6402" width="9.140625" style="871"/>
    <col min="6403" max="6403" width="8.7109375" style="871" customWidth="1"/>
    <col min="6404" max="6404" width="8.85546875" style="871" customWidth="1"/>
    <col min="6405" max="6405" width="13.85546875" style="871" customWidth="1"/>
    <col min="6406" max="6406" width="8.42578125" style="871" customWidth="1"/>
    <col min="6407" max="6407" width="14.7109375" style="871" customWidth="1"/>
    <col min="6408" max="6408" width="10.85546875" style="871" customWidth="1"/>
    <col min="6409" max="6409" width="10.140625" style="871" customWidth="1"/>
    <col min="6410" max="6410" width="12.42578125" style="871" customWidth="1"/>
    <col min="6411" max="6411" width="12.140625" style="871" bestFit="1" customWidth="1"/>
    <col min="6412" max="6656" width="9.140625" style="871"/>
    <col min="6657" max="6657" width="12.140625" style="871" customWidth="1"/>
    <col min="6658" max="6658" width="9.140625" style="871"/>
    <col min="6659" max="6659" width="8.7109375" style="871" customWidth="1"/>
    <col min="6660" max="6660" width="8.85546875" style="871" customWidth="1"/>
    <col min="6661" max="6661" width="13.85546875" style="871" customWidth="1"/>
    <col min="6662" max="6662" width="8.42578125" style="871" customWidth="1"/>
    <col min="6663" max="6663" width="14.7109375" style="871" customWidth="1"/>
    <col min="6664" max="6664" width="10.85546875" style="871" customWidth="1"/>
    <col min="6665" max="6665" width="10.140625" style="871" customWidth="1"/>
    <col min="6666" max="6666" width="12.42578125" style="871" customWidth="1"/>
    <col min="6667" max="6667" width="12.140625" style="871" bestFit="1" customWidth="1"/>
    <col min="6668" max="6912" width="9.140625" style="871"/>
    <col min="6913" max="6913" width="12.140625" style="871" customWidth="1"/>
    <col min="6914" max="6914" width="9.140625" style="871"/>
    <col min="6915" max="6915" width="8.7109375" style="871" customWidth="1"/>
    <col min="6916" max="6916" width="8.85546875" style="871" customWidth="1"/>
    <col min="6917" max="6917" width="13.85546875" style="871" customWidth="1"/>
    <col min="6918" max="6918" width="8.42578125" style="871" customWidth="1"/>
    <col min="6919" max="6919" width="14.7109375" style="871" customWidth="1"/>
    <col min="6920" max="6920" width="10.85546875" style="871" customWidth="1"/>
    <col min="6921" max="6921" width="10.140625" style="871" customWidth="1"/>
    <col min="6922" max="6922" width="12.42578125" style="871" customWidth="1"/>
    <col min="6923" max="6923" width="12.140625" style="871" bestFit="1" customWidth="1"/>
    <col min="6924" max="7168" width="9.140625" style="871"/>
    <col min="7169" max="7169" width="12.140625" style="871" customWidth="1"/>
    <col min="7170" max="7170" width="9.140625" style="871"/>
    <col min="7171" max="7171" width="8.7109375" style="871" customWidth="1"/>
    <col min="7172" max="7172" width="8.85546875" style="871" customWidth="1"/>
    <col min="7173" max="7173" width="13.85546875" style="871" customWidth="1"/>
    <col min="7174" max="7174" width="8.42578125" style="871" customWidth="1"/>
    <col min="7175" max="7175" width="14.7109375" style="871" customWidth="1"/>
    <col min="7176" max="7176" width="10.85546875" style="871" customWidth="1"/>
    <col min="7177" max="7177" width="10.140625" style="871" customWidth="1"/>
    <col min="7178" max="7178" width="12.42578125" style="871" customWidth="1"/>
    <col min="7179" max="7179" width="12.140625" style="871" bestFit="1" customWidth="1"/>
    <col min="7180" max="7424" width="9.140625" style="871"/>
    <col min="7425" max="7425" width="12.140625" style="871" customWidth="1"/>
    <col min="7426" max="7426" width="9.140625" style="871"/>
    <col min="7427" max="7427" width="8.7109375" style="871" customWidth="1"/>
    <col min="7428" max="7428" width="8.85546875" style="871" customWidth="1"/>
    <col min="7429" max="7429" width="13.85546875" style="871" customWidth="1"/>
    <col min="7430" max="7430" width="8.42578125" style="871" customWidth="1"/>
    <col min="7431" max="7431" width="14.7109375" style="871" customWidth="1"/>
    <col min="7432" max="7432" width="10.85546875" style="871" customWidth="1"/>
    <col min="7433" max="7433" width="10.140625" style="871" customWidth="1"/>
    <col min="7434" max="7434" width="12.42578125" style="871" customWidth="1"/>
    <col min="7435" max="7435" width="12.140625" style="871" bestFit="1" customWidth="1"/>
    <col min="7436" max="7680" width="9.140625" style="871"/>
    <col min="7681" max="7681" width="12.140625" style="871" customWidth="1"/>
    <col min="7682" max="7682" width="9.140625" style="871"/>
    <col min="7683" max="7683" width="8.7109375" style="871" customWidth="1"/>
    <col min="7684" max="7684" width="8.85546875" style="871" customWidth="1"/>
    <col min="7685" max="7685" width="13.85546875" style="871" customWidth="1"/>
    <col min="7686" max="7686" width="8.42578125" style="871" customWidth="1"/>
    <col min="7687" max="7687" width="14.7109375" style="871" customWidth="1"/>
    <col min="7688" max="7688" width="10.85546875" style="871" customWidth="1"/>
    <col min="7689" max="7689" width="10.140625" style="871" customWidth="1"/>
    <col min="7690" max="7690" width="12.42578125" style="871" customWidth="1"/>
    <col min="7691" max="7691" width="12.140625" style="871" bestFit="1" customWidth="1"/>
    <col min="7692" max="7936" width="9.140625" style="871"/>
    <col min="7937" max="7937" width="12.140625" style="871" customWidth="1"/>
    <col min="7938" max="7938" width="9.140625" style="871"/>
    <col min="7939" max="7939" width="8.7109375" style="871" customWidth="1"/>
    <col min="7940" max="7940" width="8.85546875" style="871" customWidth="1"/>
    <col min="7941" max="7941" width="13.85546875" style="871" customWidth="1"/>
    <col min="7942" max="7942" width="8.42578125" style="871" customWidth="1"/>
    <col min="7943" max="7943" width="14.7109375" style="871" customWidth="1"/>
    <col min="7944" max="7944" width="10.85546875" style="871" customWidth="1"/>
    <col min="7945" max="7945" width="10.140625" style="871" customWidth="1"/>
    <col min="7946" max="7946" width="12.42578125" style="871" customWidth="1"/>
    <col min="7947" max="7947" width="12.140625" style="871" bestFit="1" customWidth="1"/>
    <col min="7948" max="8192" width="9.140625" style="871"/>
    <col min="8193" max="8193" width="12.140625" style="871" customWidth="1"/>
    <col min="8194" max="8194" width="9.140625" style="871"/>
    <col min="8195" max="8195" width="8.7109375" style="871" customWidth="1"/>
    <col min="8196" max="8196" width="8.85546875" style="871" customWidth="1"/>
    <col min="8197" max="8197" width="13.85546875" style="871" customWidth="1"/>
    <col min="8198" max="8198" width="8.42578125" style="871" customWidth="1"/>
    <col min="8199" max="8199" width="14.7109375" style="871" customWidth="1"/>
    <col min="8200" max="8200" width="10.85546875" style="871" customWidth="1"/>
    <col min="8201" max="8201" width="10.140625" style="871" customWidth="1"/>
    <col min="8202" max="8202" width="12.42578125" style="871" customWidth="1"/>
    <col min="8203" max="8203" width="12.140625" style="871" bestFit="1" customWidth="1"/>
    <col min="8204" max="8448" width="9.140625" style="871"/>
    <col min="8449" max="8449" width="12.140625" style="871" customWidth="1"/>
    <col min="8450" max="8450" width="9.140625" style="871"/>
    <col min="8451" max="8451" width="8.7109375" style="871" customWidth="1"/>
    <col min="8452" max="8452" width="8.85546875" style="871" customWidth="1"/>
    <col min="8453" max="8453" width="13.85546875" style="871" customWidth="1"/>
    <col min="8454" max="8454" width="8.42578125" style="871" customWidth="1"/>
    <col min="8455" max="8455" width="14.7109375" style="871" customWidth="1"/>
    <col min="8456" max="8456" width="10.85546875" style="871" customWidth="1"/>
    <col min="8457" max="8457" width="10.140625" style="871" customWidth="1"/>
    <col min="8458" max="8458" width="12.42578125" style="871" customWidth="1"/>
    <col min="8459" max="8459" width="12.140625" style="871" bestFit="1" customWidth="1"/>
    <col min="8460" max="8704" width="9.140625" style="871"/>
    <col min="8705" max="8705" width="12.140625" style="871" customWidth="1"/>
    <col min="8706" max="8706" width="9.140625" style="871"/>
    <col min="8707" max="8707" width="8.7109375" style="871" customWidth="1"/>
    <col min="8708" max="8708" width="8.85546875" style="871" customWidth="1"/>
    <col min="8709" max="8709" width="13.85546875" style="871" customWidth="1"/>
    <col min="8710" max="8710" width="8.42578125" style="871" customWidth="1"/>
    <col min="8711" max="8711" width="14.7109375" style="871" customWidth="1"/>
    <col min="8712" max="8712" width="10.85546875" style="871" customWidth="1"/>
    <col min="8713" max="8713" width="10.140625" style="871" customWidth="1"/>
    <col min="8714" max="8714" width="12.42578125" style="871" customWidth="1"/>
    <col min="8715" max="8715" width="12.140625" style="871" bestFit="1" customWidth="1"/>
    <col min="8716" max="8960" width="9.140625" style="871"/>
    <col min="8961" max="8961" width="12.140625" style="871" customWidth="1"/>
    <col min="8962" max="8962" width="9.140625" style="871"/>
    <col min="8963" max="8963" width="8.7109375" style="871" customWidth="1"/>
    <col min="8964" max="8964" width="8.85546875" style="871" customWidth="1"/>
    <col min="8965" max="8965" width="13.85546875" style="871" customWidth="1"/>
    <col min="8966" max="8966" width="8.42578125" style="871" customWidth="1"/>
    <col min="8967" max="8967" width="14.7109375" style="871" customWidth="1"/>
    <col min="8968" max="8968" width="10.85546875" style="871" customWidth="1"/>
    <col min="8969" max="8969" width="10.140625" style="871" customWidth="1"/>
    <col min="8970" max="8970" width="12.42578125" style="871" customWidth="1"/>
    <col min="8971" max="8971" width="12.140625" style="871" bestFit="1" customWidth="1"/>
    <col min="8972" max="9216" width="9.140625" style="871"/>
    <col min="9217" max="9217" width="12.140625" style="871" customWidth="1"/>
    <col min="9218" max="9218" width="9.140625" style="871"/>
    <col min="9219" max="9219" width="8.7109375" style="871" customWidth="1"/>
    <col min="9220" max="9220" width="8.85546875" style="871" customWidth="1"/>
    <col min="9221" max="9221" width="13.85546875" style="871" customWidth="1"/>
    <col min="9222" max="9222" width="8.42578125" style="871" customWidth="1"/>
    <col min="9223" max="9223" width="14.7109375" style="871" customWidth="1"/>
    <col min="9224" max="9224" width="10.85546875" style="871" customWidth="1"/>
    <col min="9225" max="9225" width="10.140625" style="871" customWidth="1"/>
    <col min="9226" max="9226" width="12.42578125" style="871" customWidth="1"/>
    <col min="9227" max="9227" width="12.140625" style="871" bestFit="1" customWidth="1"/>
    <col min="9228" max="9472" width="9.140625" style="871"/>
    <col min="9473" max="9473" width="12.140625" style="871" customWidth="1"/>
    <col min="9474" max="9474" width="9.140625" style="871"/>
    <col min="9475" max="9475" width="8.7109375" style="871" customWidth="1"/>
    <col min="9476" max="9476" width="8.85546875" style="871" customWidth="1"/>
    <col min="9477" max="9477" width="13.85546875" style="871" customWidth="1"/>
    <col min="9478" max="9478" width="8.42578125" style="871" customWidth="1"/>
    <col min="9479" max="9479" width="14.7109375" style="871" customWidth="1"/>
    <col min="9480" max="9480" width="10.85546875" style="871" customWidth="1"/>
    <col min="9481" max="9481" width="10.140625" style="871" customWidth="1"/>
    <col min="9482" max="9482" width="12.42578125" style="871" customWidth="1"/>
    <col min="9483" max="9483" width="12.140625" style="871" bestFit="1" customWidth="1"/>
    <col min="9484" max="9728" width="9.140625" style="871"/>
    <col min="9729" max="9729" width="12.140625" style="871" customWidth="1"/>
    <col min="9730" max="9730" width="9.140625" style="871"/>
    <col min="9731" max="9731" width="8.7109375" style="871" customWidth="1"/>
    <col min="9732" max="9732" width="8.85546875" style="871" customWidth="1"/>
    <col min="9733" max="9733" width="13.85546875" style="871" customWidth="1"/>
    <col min="9734" max="9734" width="8.42578125" style="871" customWidth="1"/>
    <col min="9735" max="9735" width="14.7109375" style="871" customWidth="1"/>
    <col min="9736" max="9736" width="10.85546875" style="871" customWidth="1"/>
    <col min="9737" max="9737" width="10.140625" style="871" customWidth="1"/>
    <col min="9738" max="9738" width="12.42578125" style="871" customWidth="1"/>
    <col min="9739" max="9739" width="12.140625" style="871" bestFit="1" customWidth="1"/>
    <col min="9740" max="9984" width="9.140625" style="871"/>
    <col min="9985" max="9985" width="12.140625" style="871" customWidth="1"/>
    <col min="9986" max="9986" width="9.140625" style="871"/>
    <col min="9987" max="9987" width="8.7109375" style="871" customWidth="1"/>
    <col min="9988" max="9988" width="8.85546875" style="871" customWidth="1"/>
    <col min="9989" max="9989" width="13.85546875" style="871" customWidth="1"/>
    <col min="9990" max="9990" width="8.42578125" style="871" customWidth="1"/>
    <col min="9991" max="9991" width="14.7109375" style="871" customWidth="1"/>
    <col min="9992" max="9992" width="10.85546875" style="871" customWidth="1"/>
    <col min="9993" max="9993" width="10.140625" style="871" customWidth="1"/>
    <col min="9994" max="9994" width="12.42578125" style="871" customWidth="1"/>
    <col min="9995" max="9995" width="12.140625" style="871" bestFit="1" customWidth="1"/>
    <col min="9996" max="10240" width="9.140625" style="871"/>
    <col min="10241" max="10241" width="12.140625" style="871" customWidth="1"/>
    <col min="10242" max="10242" width="9.140625" style="871"/>
    <col min="10243" max="10243" width="8.7109375" style="871" customWidth="1"/>
    <col min="10244" max="10244" width="8.85546875" style="871" customWidth="1"/>
    <col min="10245" max="10245" width="13.85546875" style="871" customWidth="1"/>
    <col min="10246" max="10246" width="8.42578125" style="871" customWidth="1"/>
    <col min="10247" max="10247" width="14.7109375" style="871" customWidth="1"/>
    <col min="10248" max="10248" width="10.85546875" style="871" customWidth="1"/>
    <col min="10249" max="10249" width="10.140625" style="871" customWidth="1"/>
    <col min="10250" max="10250" width="12.42578125" style="871" customWidth="1"/>
    <col min="10251" max="10251" width="12.140625" style="871" bestFit="1" customWidth="1"/>
    <col min="10252" max="10496" width="9.140625" style="871"/>
    <col min="10497" max="10497" width="12.140625" style="871" customWidth="1"/>
    <col min="10498" max="10498" width="9.140625" style="871"/>
    <col min="10499" max="10499" width="8.7109375" style="871" customWidth="1"/>
    <col min="10500" max="10500" width="8.85546875" style="871" customWidth="1"/>
    <col min="10501" max="10501" width="13.85546875" style="871" customWidth="1"/>
    <col min="10502" max="10502" width="8.42578125" style="871" customWidth="1"/>
    <col min="10503" max="10503" width="14.7109375" style="871" customWidth="1"/>
    <col min="10504" max="10504" width="10.85546875" style="871" customWidth="1"/>
    <col min="10505" max="10505" width="10.140625" style="871" customWidth="1"/>
    <col min="10506" max="10506" width="12.42578125" style="871" customWidth="1"/>
    <col min="10507" max="10507" width="12.140625" style="871" bestFit="1" customWidth="1"/>
    <col min="10508" max="10752" width="9.140625" style="871"/>
    <col min="10753" max="10753" width="12.140625" style="871" customWidth="1"/>
    <col min="10754" max="10754" width="9.140625" style="871"/>
    <col min="10755" max="10755" width="8.7109375" style="871" customWidth="1"/>
    <col min="10756" max="10756" width="8.85546875" style="871" customWidth="1"/>
    <col min="10757" max="10757" width="13.85546875" style="871" customWidth="1"/>
    <col min="10758" max="10758" width="8.42578125" style="871" customWidth="1"/>
    <col min="10759" max="10759" width="14.7109375" style="871" customWidth="1"/>
    <col min="10760" max="10760" width="10.85546875" style="871" customWidth="1"/>
    <col min="10761" max="10761" width="10.140625" style="871" customWidth="1"/>
    <col min="10762" max="10762" width="12.42578125" style="871" customWidth="1"/>
    <col min="10763" max="10763" width="12.140625" style="871" bestFit="1" customWidth="1"/>
    <col min="10764" max="11008" width="9.140625" style="871"/>
    <col min="11009" max="11009" width="12.140625" style="871" customWidth="1"/>
    <col min="11010" max="11010" width="9.140625" style="871"/>
    <col min="11011" max="11011" width="8.7109375" style="871" customWidth="1"/>
    <col min="11012" max="11012" width="8.85546875" style="871" customWidth="1"/>
    <col min="11013" max="11013" width="13.85546875" style="871" customWidth="1"/>
    <col min="11014" max="11014" width="8.42578125" style="871" customWidth="1"/>
    <col min="11015" max="11015" width="14.7109375" style="871" customWidth="1"/>
    <col min="11016" max="11016" width="10.85546875" style="871" customWidth="1"/>
    <col min="11017" max="11017" width="10.140625" style="871" customWidth="1"/>
    <col min="11018" max="11018" width="12.42578125" style="871" customWidth="1"/>
    <col min="11019" max="11019" width="12.140625" style="871" bestFit="1" customWidth="1"/>
    <col min="11020" max="11264" width="9.140625" style="871"/>
    <col min="11265" max="11265" width="12.140625" style="871" customWidth="1"/>
    <col min="11266" max="11266" width="9.140625" style="871"/>
    <col min="11267" max="11267" width="8.7109375" style="871" customWidth="1"/>
    <col min="11268" max="11268" width="8.85546875" style="871" customWidth="1"/>
    <col min="11269" max="11269" width="13.85546875" style="871" customWidth="1"/>
    <col min="11270" max="11270" width="8.42578125" style="871" customWidth="1"/>
    <col min="11271" max="11271" width="14.7109375" style="871" customWidth="1"/>
    <col min="11272" max="11272" width="10.85546875" style="871" customWidth="1"/>
    <col min="11273" max="11273" width="10.140625" style="871" customWidth="1"/>
    <col min="11274" max="11274" width="12.42578125" style="871" customWidth="1"/>
    <col min="11275" max="11275" width="12.140625" style="871" bestFit="1" customWidth="1"/>
    <col min="11276" max="11520" width="9.140625" style="871"/>
    <col min="11521" max="11521" width="12.140625" style="871" customWidth="1"/>
    <col min="11522" max="11522" width="9.140625" style="871"/>
    <col min="11523" max="11523" width="8.7109375" style="871" customWidth="1"/>
    <col min="11524" max="11524" width="8.85546875" style="871" customWidth="1"/>
    <col min="11525" max="11525" width="13.85546875" style="871" customWidth="1"/>
    <col min="11526" max="11526" width="8.42578125" style="871" customWidth="1"/>
    <col min="11527" max="11527" width="14.7109375" style="871" customWidth="1"/>
    <col min="11528" max="11528" width="10.85546875" style="871" customWidth="1"/>
    <col min="11529" max="11529" width="10.140625" style="871" customWidth="1"/>
    <col min="11530" max="11530" width="12.42578125" style="871" customWidth="1"/>
    <col min="11531" max="11531" width="12.140625" style="871" bestFit="1" customWidth="1"/>
    <col min="11532" max="11776" width="9.140625" style="871"/>
    <col min="11777" max="11777" width="12.140625" style="871" customWidth="1"/>
    <col min="11778" max="11778" width="9.140625" style="871"/>
    <col min="11779" max="11779" width="8.7109375" style="871" customWidth="1"/>
    <col min="11780" max="11780" width="8.85546875" style="871" customWidth="1"/>
    <col min="11781" max="11781" width="13.85546875" style="871" customWidth="1"/>
    <col min="11782" max="11782" width="8.42578125" style="871" customWidth="1"/>
    <col min="11783" max="11783" width="14.7109375" style="871" customWidth="1"/>
    <col min="11784" max="11784" width="10.85546875" style="871" customWidth="1"/>
    <col min="11785" max="11785" width="10.140625" style="871" customWidth="1"/>
    <col min="11786" max="11786" width="12.42578125" style="871" customWidth="1"/>
    <col min="11787" max="11787" width="12.140625" style="871" bestFit="1" customWidth="1"/>
    <col min="11788" max="12032" width="9.140625" style="871"/>
    <col min="12033" max="12033" width="12.140625" style="871" customWidth="1"/>
    <col min="12034" max="12034" width="9.140625" style="871"/>
    <col min="12035" max="12035" width="8.7109375" style="871" customWidth="1"/>
    <col min="12036" max="12036" width="8.85546875" style="871" customWidth="1"/>
    <col min="12037" max="12037" width="13.85546875" style="871" customWidth="1"/>
    <col min="12038" max="12038" width="8.42578125" style="871" customWidth="1"/>
    <col min="12039" max="12039" width="14.7109375" style="871" customWidth="1"/>
    <col min="12040" max="12040" width="10.85546875" style="871" customWidth="1"/>
    <col min="12041" max="12041" width="10.140625" style="871" customWidth="1"/>
    <col min="12042" max="12042" width="12.42578125" style="871" customWidth="1"/>
    <col min="12043" max="12043" width="12.140625" style="871" bestFit="1" customWidth="1"/>
    <col min="12044" max="12288" width="9.140625" style="871"/>
    <col min="12289" max="12289" width="12.140625" style="871" customWidth="1"/>
    <col min="12290" max="12290" width="9.140625" style="871"/>
    <col min="12291" max="12291" width="8.7109375" style="871" customWidth="1"/>
    <col min="12292" max="12292" width="8.85546875" style="871" customWidth="1"/>
    <col min="12293" max="12293" width="13.85546875" style="871" customWidth="1"/>
    <col min="12294" max="12294" width="8.42578125" style="871" customWidth="1"/>
    <col min="12295" max="12295" width="14.7109375" style="871" customWidth="1"/>
    <col min="12296" max="12296" width="10.85546875" style="871" customWidth="1"/>
    <col min="12297" max="12297" width="10.140625" style="871" customWidth="1"/>
    <col min="12298" max="12298" width="12.42578125" style="871" customWidth="1"/>
    <col min="12299" max="12299" width="12.140625" style="871" bestFit="1" customWidth="1"/>
    <col min="12300" max="12544" width="9.140625" style="871"/>
    <col min="12545" max="12545" width="12.140625" style="871" customWidth="1"/>
    <col min="12546" max="12546" width="9.140625" style="871"/>
    <col min="12547" max="12547" width="8.7109375" style="871" customWidth="1"/>
    <col min="12548" max="12548" width="8.85546875" style="871" customWidth="1"/>
    <col min="12549" max="12549" width="13.85546875" style="871" customWidth="1"/>
    <col min="12550" max="12550" width="8.42578125" style="871" customWidth="1"/>
    <col min="12551" max="12551" width="14.7109375" style="871" customWidth="1"/>
    <col min="12552" max="12552" width="10.85546875" style="871" customWidth="1"/>
    <col min="12553" max="12553" width="10.140625" style="871" customWidth="1"/>
    <col min="12554" max="12554" width="12.42578125" style="871" customWidth="1"/>
    <col min="12555" max="12555" width="12.140625" style="871" bestFit="1" customWidth="1"/>
    <col min="12556" max="12800" width="9.140625" style="871"/>
    <col min="12801" max="12801" width="12.140625" style="871" customWidth="1"/>
    <col min="12802" max="12802" width="9.140625" style="871"/>
    <col min="12803" max="12803" width="8.7109375" style="871" customWidth="1"/>
    <col min="12804" max="12804" width="8.85546875" style="871" customWidth="1"/>
    <col min="12805" max="12805" width="13.85546875" style="871" customWidth="1"/>
    <col min="12806" max="12806" width="8.42578125" style="871" customWidth="1"/>
    <col min="12807" max="12807" width="14.7109375" style="871" customWidth="1"/>
    <col min="12808" max="12808" width="10.85546875" style="871" customWidth="1"/>
    <col min="12809" max="12809" width="10.140625" style="871" customWidth="1"/>
    <col min="12810" max="12810" width="12.42578125" style="871" customWidth="1"/>
    <col min="12811" max="12811" width="12.140625" style="871" bestFit="1" customWidth="1"/>
    <col min="12812" max="13056" width="9.140625" style="871"/>
    <col min="13057" max="13057" width="12.140625" style="871" customWidth="1"/>
    <col min="13058" max="13058" width="9.140625" style="871"/>
    <col min="13059" max="13059" width="8.7109375" style="871" customWidth="1"/>
    <col min="13060" max="13060" width="8.85546875" style="871" customWidth="1"/>
    <col min="13061" max="13061" width="13.85546875" style="871" customWidth="1"/>
    <col min="13062" max="13062" width="8.42578125" style="871" customWidth="1"/>
    <col min="13063" max="13063" width="14.7109375" style="871" customWidth="1"/>
    <col min="13064" max="13064" width="10.85546875" style="871" customWidth="1"/>
    <col min="13065" max="13065" width="10.140625" style="871" customWidth="1"/>
    <col min="13066" max="13066" width="12.42578125" style="871" customWidth="1"/>
    <col min="13067" max="13067" width="12.140625" style="871" bestFit="1" customWidth="1"/>
    <col min="13068" max="13312" width="9.140625" style="871"/>
    <col min="13313" max="13313" width="12.140625" style="871" customWidth="1"/>
    <col min="13314" max="13314" width="9.140625" style="871"/>
    <col min="13315" max="13315" width="8.7109375" style="871" customWidth="1"/>
    <col min="13316" max="13316" width="8.85546875" style="871" customWidth="1"/>
    <col min="13317" max="13317" width="13.85546875" style="871" customWidth="1"/>
    <col min="13318" max="13318" width="8.42578125" style="871" customWidth="1"/>
    <col min="13319" max="13319" width="14.7109375" style="871" customWidth="1"/>
    <col min="13320" max="13320" width="10.85546875" style="871" customWidth="1"/>
    <col min="13321" max="13321" width="10.140625" style="871" customWidth="1"/>
    <col min="13322" max="13322" width="12.42578125" style="871" customWidth="1"/>
    <col min="13323" max="13323" width="12.140625" style="871" bestFit="1" customWidth="1"/>
    <col min="13324" max="13568" width="9.140625" style="871"/>
    <col min="13569" max="13569" width="12.140625" style="871" customWidth="1"/>
    <col min="13570" max="13570" width="9.140625" style="871"/>
    <col min="13571" max="13571" width="8.7109375" style="871" customWidth="1"/>
    <col min="13572" max="13572" width="8.85546875" style="871" customWidth="1"/>
    <col min="13573" max="13573" width="13.85546875" style="871" customWidth="1"/>
    <col min="13574" max="13574" width="8.42578125" style="871" customWidth="1"/>
    <col min="13575" max="13575" width="14.7109375" style="871" customWidth="1"/>
    <col min="13576" max="13576" width="10.85546875" style="871" customWidth="1"/>
    <col min="13577" max="13577" width="10.140625" style="871" customWidth="1"/>
    <col min="13578" max="13578" width="12.42578125" style="871" customWidth="1"/>
    <col min="13579" max="13579" width="12.140625" style="871" bestFit="1" customWidth="1"/>
    <col min="13580" max="13824" width="9.140625" style="871"/>
    <col min="13825" max="13825" width="12.140625" style="871" customWidth="1"/>
    <col min="13826" max="13826" width="9.140625" style="871"/>
    <col min="13827" max="13827" width="8.7109375" style="871" customWidth="1"/>
    <col min="13828" max="13828" width="8.85546875" style="871" customWidth="1"/>
    <col min="13829" max="13829" width="13.85546875" style="871" customWidth="1"/>
    <col min="13830" max="13830" width="8.42578125" style="871" customWidth="1"/>
    <col min="13831" max="13831" width="14.7109375" style="871" customWidth="1"/>
    <col min="13832" max="13832" width="10.85546875" style="871" customWidth="1"/>
    <col min="13833" max="13833" width="10.140625" style="871" customWidth="1"/>
    <col min="13834" max="13834" width="12.42578125" style="871" customWidth="1"/>
    <col min="13835" max="13835" width="12.140625" style="871" bestFit="1" customWidth="1"/>
    <col min="13836" max="14080" width="9.140625" style="871"/>
    <col min="14081" max="14081" width="12.140625" style="871" customWidth="1"/>
    <col min="14082" max="14082" width="9.140625" style="871"/>
    <col min="14083" max="14083" width="8.7109375" style="871" customWidth="1"/>
    <col min="14084" max="14084" width="8.85546875" style="871" customWidth="1"/>
    <col min="14085" max="14085" width="13.85546875" style="871" customWidth="1"/>
    <col min="14086" max="14086" width="8.42578125" style="871" customWidth="1"/>
    <col min="14087" max="14087" width="14.7109375" style="871" customWidth="1"/>
    <col min="14088" max="14088" width="10.85546875" style="871" customWidth="1"/>
    <col min="14089" max="14089" width="10.140625" style="871" customWidth="1"/>
    <col min="14090" max="14090" width="12.42578125" style="871" customWidth="1"/>
    <col min="14091" max="14091" width="12.140625" style="871" bestFit="1" customWidth="1"/>
    <col min="14092" max="14336" width="9.140625" style="871"/>
    <col min="14337" max="14337" width="12.140625" style="871" customWidth="1"/>
    <col min="14338" max="14338" width="9.140625" style="871"/>
    <col min="14339" max="14339" width="8.7109375" style="871" customWidth="1"/>
    <col min="14340" max="14340" width="8.85546875" style="871" customWidth="1"/>
    <col min="14341" max="14341" width="13.85546875" style="871" customWidth="1"/>
    <col min="14342" max="14342" width="8.42578125" style="871" customWidth="1"/>
    <col min="14343" max="14343" width="14.7109375" style="871" customWidth="1"/>
    <col min="14344" max="14344" width="10.85546875" style="871" customWidth="1"/>
    <col min="14345" max="14345" width="10.140625" style="871" customWidth="1"/>
    <col min="14346" max="14346" width="12.42578125" style="871" customWidth="1"/>
    <col min="14347" max="14347" width="12.140625" style="871" bestFit="1" customWidth="1"/>
    <col min="14348" max="14592" width="9.140625" style="871"/>
    <col min="14593" max="14593" width="12.140625" style="871" customWidth="1"/>
    <col min="14594" max="14594" width="9.140625" style="871"/>
    <col min="14595" max="14595" width="8.7109375" style="871" customWidth="1"/>
    <col min="14596" max="14596" width="8.85546875" style="871" customWidth="1"/>
    <col min="14597" max="14597" width="13.85546875" style="871" customWidth="1"/>
    <col min="14598" max="14598" width="8.42578125" style="871" customWidth="1"/>
    <col min="14599" max="14599" width="14.7109375" style="871" customWidth="1"/>
    <col min="14600" max="14600" width="10.85546875" style="871" customWidth="1"/>
    <col min="14601" max="14601" width="10.140625" style="871" customWidth="1"/>
    <col min="14602" max="14602" width="12.42578125" style="871" customWidth="1"/>
    <col min="14603" max="14603" width="12.140625" style="871" bestFit="1" customWidth="1"/>
    <col min="14604" max="14848" width="9.140625" style="871"/>
    <col min="14849" max="14849" width="12.140625" style="871" customWidth="1"/>
    <col min="14850" max="14850" width="9.140625" style="871"/>
    <col min="14851" max="14851" width="8.7109375" style="871" customWidth="1"/>
    <col min="14852" max="14852" width="8.85546875" style="871" customWidth="1"/>
    <col min="14853" max="14853" width="13.85546875" style="871" customWidth="1"/>
    <col min="14854" max="14854" width="8.42578125" style="871" customWidth="1"/>
    <col min="14855" max="14855" width="14.7109375" style="871" customWidth="1"/>
    <col min="14856" max="14856" width="10.85546875" style="871" customWidth="1"/>
    <col min="14857" max="14857" width="10.140625" style="871" customWidth="1"/>
    <col min="14858" max="14858" width="12.42578125" style="871" customWidth="1"/>
    <col min="14859" max="14859" width="12.140625" style="871" bestFit="1" customWidth="1"/>
    <col min="14860" max="15104" width="9.140625" style="871"/>
    <col min="15105" max="15105" width="12.140625" style="871" customWidth="1"/>
    <col min="15106" max="15106" width="9.140625" style="871"/>
    <col min="15107" max="15107" width="8.7109375" style="871" customWidth="1"/>
    <col min="15108" max="15108" width="8.85546875" style="871" customWidth="1"/>
    <col min="15109" max="15109" width="13.85546875" style="871" customWidth="1"/>
    <col min="15110" max="15110" width="8.42578125" style="871" customWidth="1"/>
    <col min="15111" max="15111" width="14.7109375" style="871" customWidth="1"/>
    <col min="15112" max="15112" width="10.85546875" style="871" customWidth="1"/>
    <col min="15113" max="15113" width="10.140625" style="871" customWidth="1"/>
    <col min="15114" max="15114" width="12.42578125" style="871" customWidth="1"/>
    <col min="15115" max="15115" width="12.140625" style="871" bestFit="1" customWidth="1"/>
    <col min="15116" max="15360" width="9.140625" style="871"/>
    <col min="15361" max="15361" width="12.140625" style="871" customWidth="1"/>
    <col min="15362" max="15362" width="9.140625" style="871"/>
    <col min="15363" max="15363" width="8.7109375" style="871" customWidth="1"/>
    <col min="15364" max="15364" width="8.85546875" style="871" customWidth="1"/>
    <col min="15365" max="15365" width="13.85546875" style="871" customWidth="1"/>
    <col min="15366" max="15366" width="8.42578125" style="871" customWidth="1"/>
    <col min="15367" max="15367" width="14.7109375" style="871" customWidth="1"/>
    <col min="15368" max="15368" width="10.85546875" style="871" customWidth="1"/>
    <col min="15369" max="15369" width="10.140625" style="871" customWidth="1"/>
    <col min="15370" max="15370" width="12.42578125" style="871" customWidth="1"/>
    <col min="15371" max="15371" width="12.140625" style="871" bestFit="1" customWidth="1"/>
    <col min="15372" max="15616" width="9.140625" style="871"/>
    <col min="15617" max="15617" width="12.140625" style="871" customWidth="1"/>
    <col min="15618" max="15618" width="9.140625" style="871"/>
    <col min="15619" max="15619" width="8.7109375" style="871" customWidth="1"/>
    <col min="15620" max="15620" width="8.85546875" style="871" customWidth="1"/>
    <col min="15621" max="15621" width="13.85546875" style="871" customWidth="1"/>
    <col min="15622" max="15622" width="8.42578125" style="871" customWidth="1"/>
    <col min="15623" max="15623" width="14.7109375" style="871" customWidth="1"/>
    <col min="15624" max="15624" width="10.85546875" style="871" customWidth="1"/>
    <col min="15625" max="15625" width="10.140625" style="871" customWidth="1"/>
    <col min="15626" max="15626" width="12.42578125" style="871" customWidth="1"/>
    <col min="15627" max="15627" width="12.140625" style="871" bestFit="1" customWidth="1"/>
    <col min="15628" max="15872" width="9.140625" style="871"/>
    <col min="15873" max="15873" width="12.140625" style="871" customWidth="1"/>
    <col min="15874" max="15874" width="9.140625" style="871"/>
    <col min="15875" max="15875" width="8.7109375" style="871" customWidth="1"/>
    <col min="15876" max="15876" width="8.85546875" style="871" customWidth="1"/>
    <col min="15877" max="15877" width="13.85546875" style="871" customWidth="1"/>
    <col min="15878" max="15878" width="8.42578125" style="871" customWidth="1"/>
    <col min="15879" max="15879" width="14.7109375" style="871" customWidth="1"/>
    <col min="15880" max="15880" width="10.85546875" style="871" customWidth="1"/>
    <col min="15881" max="15881" width="10.140625" style="871" customWidth="1"/>
    <col min="15882" max="15882" width="12.42578125" style="871" customWidth="1"/>
    <col min="15883" max="15883" width="12.140625" style="871" bestFit="1" customWidth="1"/>
    <col min="15884" max="16128" width="9.140625" style="871"/>
    <col min="16129" max="16129" width="12.140625" style="871" customWidth="1"/>
    <col min="16130" max="16130" width="9.140625" style="871"/>
    <col min="16131" max="16131" width="8.7109375" style="871" customWidth="1"/>
    <col min="16132" max="16132" width="8.85546875" style="871" customWidth="1"/>
    <col min="16133" max="16133" width="13.85546875" style="871" customWidth="1"/>
    <col min="16134" max="16134" width="8.42578125" style="871" customWidth="1"/>
    <col min="16135" max="16135" width="14.7109375" style="871" customWidth="1"/>
    <col min="16136" max="16136" width="10.85546875" style="871" customWidth="1"/>
    <col min="16137" max="16137" width="10.140625" style="871" customWidth="1"/>
    <col min="16138" max="16138" width="12.42578125" style="871" customWidth="1"/>
    <col min="16139" max="16139" width="12.140625" style="871" bestFit="1" customWidth="1"/>
    <col min="16140" max="16384" width="9.140625" style="871"/>
  </cols>
  <sheetData>
    <row r="1" spans="1:11" ht="28.5" customHeight="1" x14ac:dyDescent="0.25">
      <c r="A1" s="869" t="s">
        <v>1048</v>
      </c>
      <c r="B1" s="869"/>
      <c r="C1" s="869"/>
      <c r="D1" s="869"/>
      <c r="E1" s="870"/>
      <c r="F1" s="870"/>
      <c r="G1" s="870"/>
      <c r="H1" s="885"/>
      <c r="I1" s="885"/>
    </row>
    <row r="2" spans="1:11" ht="15.75" x14ac:dyDescent="0.25">
      <c r="A2" s="1138" t="s">
        <v>1063</v>
      </c>
      <c r="B2" s="1139"/>
      <c r="C2" s="1135" t="s">
        <v>1049</v>
      </c>
      <c r="D2" s="1135"/>
      <c r="E2" s="870"/>
      <c r="F2" s="870"/>
      <c r="G2" s="870"/>
      <c r="H2" s="885"/>
      <c r="I2" s="885"/>
    </row>
    <row r="3" spans="1:11" ht="15.75" x14ac:dyDescent="0.25">
      <c r="A3" s="1138" t="s">
        <v>1064</v>
      </c>
      <c r="B3" s="1139"/>
      <c r="C3" s="1135" t="s">
        <v>275</v>
      </c>
      <c r="D3" s="1135"/>
      <c r="E3" s="870"/>
      <c r="F3" s="870"/>
      <c r="G3" s="870"/>
      <c r="H3" s="885"/>
      <c r="I3" s="885"/>
    </row>
    <row r="4" spans="1:11" ht="6" customHeight="1" x14ac:dyDescent="0.25">
      <c r="A4" s="874"/>
      <c r="B4" s="870"/>
      <c r="C4" s="870"/>
      <c r="D4" s="870"/>
      <c r="E4" s="870"/>
      <c r="F4" s="870"/>
      <c r="G4" s="870"/>
      <c r="H4" s="885"/>
      <c r="I4" s="885"/>
    </row>
    <row r="5" spans="1:11" ht="15.75" x14ac:dyDescent="0.25">
      <c r="A5" s="872" t="s">
        <v>1050</v>
      </c>
      <c r="B5" s="870"/>
      <c r="C5" s="870"/>
      <c r="D5" s="881">
        <v>17</v>
      </c>
      <c r="E5" s="873"/>
      <c r="F5" s="870"/>
      <c r="G5" s="870"/>
      <c r="H5" s="885"/>
      <c r="I5" s="885"/>
    </row>
    <row r="6" spans="1:11" ht="15.75" x14ac:dyDescent="0.25">
      <c r="A6" s="872" t="s">
        <v>1051</v>
      </c>
      <c r="B6" s="870"/>
      <c r="C6" s="870"/>
      <c r="D6" s="882">
        <v>28</v>
      </c>
      <c r="E6" s="873"/>
      <c r="F6" s="870"/>
      <c r="G6" s="870"/>
      <c r="H6" s="885"/>
      <c r="I6" s="885"/>
    </row>
    <row r="7" spans="1:11" ht="7.5" customHeight="1" x14ac:dyDescent="0.25">
      <c r="A7" s="872"/>
      <c r="B7" s="870"/>
      <c r="C7" s="870"/>
      <c r="D7" s="870"/>
      <c r="E7" s="870"/>
      <c r="F7" s="870"/>
      <c r="G7" s="870"/>
      <c r="H7" s="885"/>
      <c r="I7" s="885"/>
    </row>
    <row r="8" spans="1:11" ht="15.75" x14ac:dyDescent="0.25">
      <c r="A8" s="872" t="s">
        <v>1052</v>
      </c>
      <c r="B8" s="870"/>
      <c r="C8" s="870"/>
      <c r="D8" s="883">
        <v>8.0000000000000002E-3</v>
      </c>
      <c r="E8" s="875" t="s">
        <v>1066</v>
      </c>
      <c r="F8" s="870"/>
      <c r="G8" s="870"/>
      <c r="H8" s="885"/>
      <c r="I8" s="885"/>
    </row>
    <row r="9" spans="1:11" ht="15.75" x14ac:dyDescent="0.25">
      <c r="A9" s="872" t="s">
        <v>1053</v>
      </c>
      <c r="B9" s="870"/>
      <c r="C9" s="870"/>
      <c r="D9" s="884">
        <v>1.6E-2</v>
      </c>
      <c r="E9" s="876" t="s">
        <v>1061</v>
      </c>
      <c r="F9" s="870"/>
      <c r="G9" s="870"/>
      <c r="H9" s="885"/>
      <c r="I9" s="885"/>
    </row>
    <row r="10" spans="1:11" x14ac:dyDescent="0.25">
      <c r="A10" s="872"/>
      <c r="B10" s="870"/>
      <c r="C10" s="870"/>
      <c r="D10" s="873"/>
      <c r="E10" s="873"/>
      <c r="F10" s="870"/>
      <c r="G10" s="870"/>
      <c r="H10" s="885"/>
      <c r="I10" s="885"/>
    </row>
    <row r="11" spans="1:11" ht="15.75" x14ac:dyDescent="0.25">
      <c r="A11" s="880" t="s">
        <v>1054</v>
      </c>
      <c r="B11" s="870"/>
      <c r="C11" s="1136">
        <v>45547</v>
      </c>
      <c r="D11" s="1137"/>
      <c r="E11" s="877"/>
      <c r="F11" s="870"/>
      <c r="G11" s="870"/>
      <c r="H11" s="885"/>
      <c r="I11" s="885"/>
    </row>
    <row r="12" spans="1:11" x14ac:dyDescent="0.25">
      <c r="A12" s="872"/>
      <c r="B12" s="870"/>
      <c r="C12" s="870"/>
      <c r="D12" s="870"/>
      <c r="E12" s="870"/>
      <c r="F12" s="870"/>
      <c r="G12" s="870"/>
      <c r="H12" s="885"/>
      <c r="I12" s="885"/>
      <c r="J12" s="885"/>
      <c r="K12" s="885"/>
    </row>
    <row r="13" spans="1:11" ht="50.25" customHeight="1" x14ac:dyDescent="0.25">
      <c r="A13" s="878" t="s">
        <v>1065</v>
      </c>
      <c r="B13" s="878" t="s">
        <v>922</v>
      </c>
      <c r="C13" s="878" t="s">
        <v>923</v>
      </c>
      <c r="D13" s="878" t="s">
        <v>924</v>
      </c>
      <c r="E13" s="879" t="s">
        <v>1062</v>
      </c>
      <c r="F13" s="878" t="s">
        <v>1060</v>
      </c>
      <c r="G13" s="878" t="s">
        <v>1055</v>
      </c>
      <c r="H13" s="887" t="s">
        <v>1058</v>
      </c>
      <c r="I13" s="888" t="s">
        <v>1059</v>
      </c>
      <c r="J13" s="888" t="s">
        <v>1056</v>
      </c>
      <c r="K13" s="888" t="s">
        <v>1057</v>
      </c>
    </row>
    <row r="14" spans="1:11" x14ac:dyDescent="0.25">
      <c r="A14" s="891">
        <f>C11</f>
        <v>45547</v>
      </c>
      <c r="B14" s="892">
        <v>16</v>
      </c>
      <c r="C14" s="893">
        <f>IF(A14&gt;0, A14-A14, 0)</f>
        <v>0</v>
      </c>
      <c r="D14" s="893">
        <f>IF(A14&gt;0, C14*24+(B14-B14), 0)</f>
        <v>0</v>
      </c>
      <c r="E14" s="894">
        <v>10</v>
      </c>
      <c r="F14" s="895">
        <v>1.101</v>
      </c>
      <c r="G14" s="894"/>
      <c r="H14" s="889">
        <f>IF(D14&gt;=0, F14-D8*(D14/24), 0)</f>
        <v>1.101</v>
      </c>
      <c r="I14" s="890">
        <f>IF(D14&gt;=0, F14-D9*(D14/24), 0)</f>
        <v>1.101</v>
      </c>
      <c r="J14" s="890">
        <f>D5</f>
        <v>17</v>
      </c>
      <c r="K14" s="890">
        <f>D6</f>
        <v>28</v>
      </c>
    </row>
    <row r="15" spans="1:11" x14ac:dyDescent="0.25">
      <c r="A15" s="891">
        <v>45548</v>
      </c>
      <c r="B15" s="892">
        <v>10</v>
      </c>
      <c r="C15" s="893">
        <f>IF(A15&gt;0, A15-A14, 0)</f>
        <v>1</v>
      </c>
      <c r="D15" s="893">
        <f>IF(A15&gt;0, C15*24+(B15-B14), D14)</f>
        <v>18</v>
      </c>
      <c r="E15" s="894">
        <v>15</v>
      </c>
      <c r="F15" s="895">
        <v>1.0980000000000001</v>
      </c>
      <c r="G15" s="894"/>
      <c r="H15" s="889">
        <f>IF(D15&gt;0, F14-D8*(D15/24), 0)</f>
        <v>1.095</v>
      </c>
      <c r="I15" s="890">
        <f>IF(D15&gt;0, F14-D9*(D15/24), 0)</f>
        <v>1.089</v>
      </c>
      <c r="J15" s="890">
        <f>D5</f>
        <v>17</v>
      </c>
      <c r="K15" s="890">
        <f>D6</f>
        <v>28</v>
      </c>
    </row>
    <row r="16" spans="1:11" x14ac:dyDescent="0.25">
      <c r="A16" s="891">
        <v>45549</v>
      </c>
      <c r="B16" s="892">
        <v>16</v>
      </c>
      <c r="C16" s="893">
        <f>IF(A16&gt;0, A16-A14, 0)</f>
        <v>2</v>
      </c>
      <c r="D16" s="893">
        <f>IF(A16&gt;0, C16*24+(B16-B14), D15)</f>
        <v>48</v>
      </c>
      <c r="E16" s="894">
        <v>18</v>
      </c>
      <c r="F16" s="895">
        <v>1.08</v>
      </c>
      <c r="G16" s="894"/>
      <c r="H16" s="889">
        <f>IF(D16&gt;0, F14-D8*(D16/24), 0)</f>
        <v>1.085</v>
      </c>
      <c r="I16" s="890">
        <f>IF(D16&gt;0, F14-D9*(D16/24), 0)</f>
        <v>1.069</v>
      </c>
      <c r="J16" s="890">
        <f>D5</f>
        <v>17</v>
      </c>
      <c r="K16" s="890">
        <f>D6</f>
        <v>28</v>
      </c>
    </row>
    <row r="17" spans="1:11" x14ac:dyDescent="0.25">
      <c r="A17" s="891">
        <v>45550</v>
      </c>
      <c r="B17" s="892">
        <v>23</v>
      </c>
      <c r="C17" s="893">
        <f>IF(A17&gt;0, A17-A14, 0)</f>
        <v>3</v>
      </c>
      <c r="D17" s="893">
        <f>IF(A17&gt;0, C17*24+(B17-B14), D16)</f>
        <v>79</v>
      </c>
      <c r="E17" s="894">
        <v>20.5</v>
      </c>
      <c r="F17" s="895">
        <v>1.0649999999999999</v>
      </c>
      <c r="G17" s="894"/>
      <c r="H17" s="889">
        <f>IF(D17&gt;0, F14-D8*(D17/24), 0)</f>
        <v>1.0746666666666667</v>
      </c>
      <c r="I17" s="890">
        <f>IF(D17&gt;0, F14-D9*(D17/24), 0)</f>
        <v>1.0483333333333333</v>
      </c>
      <c r="J17" s="890">
        <f>D5</f>
        <v>17</v>
      </c>
      <c r="K17" s="890">
        <f>D6</f>
        <v>28</v>
      </c>
    </row>
    <row r="18" spans="1:11" x14ac:dyDescent="0.25">
      <c r="A18" s="891">
        <v>45551</v>
      </c>
      <c r="B18" s="892">
        <v>20</v>
      </c>
      <c r="C18" s="893">
        <f>IF(A18&gt;0, A18-A14, 0)</f>
        <v>4</v>
      </c>
      <c r="D18" s="893">
        <f>IF(A18&gt;0, C18*24+(B18-B14), D17)</f>
        <v>100</v>
      </c>
      <c r="E18" s="894">
        <v>22</v>
      </c>
      <c r="F18" s="895">
        <v>1.05</v>
      </c>
      <c r="G18" s="894"/>
      <c r="H18" s="889">
        <f>IF(D18&gt;0, F14-D8*(D18/24), 0)</f>
        <v>1.0676666666666665</v>
      </c>
      <c r="I18" s="890">
        <f>IF(D18&gt;0, F14-D9*(D18/24), 0)</f>
        <v>1.0343333333333333</v>
      </c>
      <c r="J18" s="890">
        <f>D5</f>
        <v>17</v>
      </c>
      <c r="K18" s="890">
        <f>D6</f>
        <v>28</v>
      </c>
    </row>
    <row r="19" spans="1:11" x14ac:dyDescent="0.25">
      <c r="A19" s="891">
        <v>45552</v>
      </c>
      <c r="B19" s="892">
        <v>17</v>
      </c>
      <c r="C19" s="893">
        <f>IF(A19&gt;0, A19-A14, 0)</f>
        <v>5</v>
      </c>
      <c r="D19" s="893">
        <f>IF(A19&gt;0, C19*24+(B19-B14), D18)</f>
        <v>121</v>
      </c>
      <c r="E19" s="894">
        <v>23</v>
      </c>
      <c r="F19" s="895">
        <v>1.0349999999999999</v>
      </c>
      <c r="G19" s="894"/>
      <c r="H19" s="889">
        <f>IF(D19&gt;0, F14-D8*(D19/24), 0)</f>
        <v>1.0606666666666666</v>
      </c>
      <c r="I19" s="890">
        <f>IF(D19&gt;0, F14-D9*(D19/24), 0)</f>
        <v>1.0203333333333333</v>
      </c>
      <c r="J19" s="890">
        <f>D5</f>
        <v>17</v>
      </c>
      <c r="K19" s="890">
        <f>D6</f>
        <v>28</v>
      </c>
    </row>
    <row r="20" spans="1:11" x14ac:dyDescent="0.25">
      <c r="A20" s="891">
        <v>45553</v>
      </c>
      <c r="B20" s="892">
        <v>10</v>
      </c>
      <c r="C20" s="893">
        <f>IF(A20&gt;0, A20-A14, 0)</f>
        <v>6</v>
      </c>
      <c r="D20" s="893">
        <f>IF(A20&gt;0, C20*24+(B20-B14), D19)</f>
        <v>138</v>
      </c>
      <c r="E20" s="894">
        <v>24</v>
      </c>
      <c r="F20" s="895">
        <v>1.0249999999999999</v>
      </c>
      <c r="G20" s="894"/>
      <c r="H20" s="889">
        <f>IF(D20&gt;0, F14-D8*(D20/24), 0)</f>
        <v>1.0549999999999999</v>
      </c>
      <c r="I20" s="890">
        <f>IF(D20&gt;0, F14-D9*(D20/24), 0)</f>
        <v>1.0089999999999999</v>
      </c>
      <c r="J20" s="890">
        <f>D5</f>
        <v>17</v>
      </c>
      <c r="K20" s="890">
        <f>D6</f>
        <v>28</v>
      </c>
    </row>
    <row r="21" spans="1:11" x14ac:dyDescent="0.25">
      <c r="A21" s="891">
        <v>45554</v>
      </c>
      <c r="B21" s="892">
        <v>11</v>
      </c>
      <c r="C21" s="893">
        <f>IF(A21&gt;0, A21-A14, 0)</f>
        <v>7</v>
      </c>
      <c r="D21" s="893">
        <f>IF(A21&gt;0, C21*24+(B21-B14), D20)</f>
        <v>163</v>
      </c>
      <c r="E21" s="894">
        <v>24.5</v>
      </c>
      <c r="F21" s="895">
        <v>1.0149999999999999</v>
      </c>
      <c r="G21" s="894"/>
      <c r="H21" s="889">
        <f>IF(D21&gt;0, F14-D8*(D21/24), 0)</f>
        <v>1.0466666666666666</v>
      </c>
      <c r="I21" s="890">
        <f>IF(D21&gt;0, F14-D9*(D21/24), 0)</f>
        <v>0.99233333333333329</v>
      </c>
      <c r="J21" s="890">
        <f>D5</f>
        <v>17</v>
      </c>
      <c r="K21" s="890">
        <f>D6</f>
        <v>28</v>
      </c>
    </row>
    <row r="22" spans="1:11" x14ac:dyDescent="0.25">
      <c r="A22" s="891">
        <v>45555</v>
      </c>
      <c r="B22" s="892">
        <v>10</v>
      </c>
      <c r="C22" s="893">
        <f>IF(A22&gt;0, A22-A14, 0)</f>
        <v>8</v>
      </c>
      <c r="D22" s="893">
        <f>IF(A22&gt;0, C22*24+(B22-B14), D21)</f>
        <v>186</v>
      </c>
      <c r="E22" s="894">
        <v>25</v>
      </c>
      <c r="F22" s="895">
        <v>1.008</v>
      </c>
      <c r="G22" s="894" t="s">
        <v>28</v>
      </c>
      <c r="H22" s="889">
        <f>IF(D22&gt;0, F14-D8*(D22/24), 0)</f>
        <v>1.0389999999999999</v>
      </c>
      <c r="I22" s="890">
        <f>IF(D22&gt;0, F14-D9*(D22/24), 0)</f>
        <v>0.97699999999999998</v>
      </c>
      <c r="J22" s="890">
        <f>D5</f>
        <v>17</v>
      </c>
      <c r="K22" s="890">
        <f>D6</f>
        <v>28</v>
      </c>
    </row>
    <row r="23" spans="1:11" x14ac:dyDescent="0.25">
      <c r="A23" s="891">
        <v>45556</v>
      </c>
      <c r="B23" s="892">
        <v>9</v>
      </c>
      <c r="C23" s="893">
        <f>IF(A23&gt;0, A23-A14, 0)</f>
        <v>9</v>
      </c>
      <c r="D23" s="893">
        <f>IF(A23&gt;0, C23*24+(B23-B14), D22)</f>
        <v>209</v>
      </c>
      <c r="E23" s="894">
        <v>25</v>
      </c>
      <c r="F23" s="895">
        <v>1</v>
      </c>
      <c r="G23" s="894"/>
      <c r="H23" s="889">
        <f>IF(D23&gt;0, F14-D8*(D23/24), 0)</f>
        <v>1.0313333333333332</v>
      </c>
      <c r="I23" s="890">
        <f>IF(D23&gt;0, F14-D9*(D23/24), 0)</f>
        <v>0.96166666666666667</v>
      </c>
      <c r="J23" s="890">
        <f>D5</f>
        <v>17</v>
      </c>
      <c r="K23" s="890">
        <f>D6</f>
        <v>28</v>
      </c>
    </row>
    <row r="24" spans="1:11" x14ac:dyDescent="0.25">
      <c r="A24" s="891">
        <v>45557</v>
      </c>
      <c r="B24" s="892">
        <v>12</v>
      </c>
      <c r="C24" s="893">
        <f>IF(A24&gt;0, A24-A14, 0)</f>
        <v>10</v>
      </c>
      <c r="D24" s="896">
        <f>IF(A24&gt;0, C24*24+(B24-B14), D23)</f>
        <v>236</v>
      </c>
      <c r="E24" s="894">
        <v>25</v>
      </c>
      <c r="F24" s="895">
        <v>0.997</v>
      </c>
      <c r="G24" s="894"/>
      <c r="H24" s="889">
        <f>IF(D24&gt;0, F14-D8*(D24/24), 0)</f>
        <v>1.0223333333333333</v>
      </c>
      <c r="I24" s="890">
        <f>IF(D24&gt;0, F14-D9*(D24/24), 0)</f>
        <v>0.94366666666666665</v>
      </c>
      <c r="J24" s="890">
        <f>D5</f>
        <v>17</v>
      </c>
      <c r="K24" s="890">
        <f>D6</f>
        <v>28</v>
      </c>
    </row>
    <row r="25" spans="1:11" x14ac:dyDescent="0.25">
      <c r="A25" s="891">
        <v>45558</v>
      </c>
      <c r="B25" s="892">
        <v>10</v>
      </c>
      <c r="C25" s="893">
        <f>IF(A25&gt;0, A25-A14, 0)</f>
        <v>11</v>
      </c>
      <c r="D25" s="893">
        <f>IF(A25&gt;0, C25*24+(B25-B14), D24)</f>
        <v>258</v>
      </c>
      <c r="E25" s="894">
        <v>25</v>
      </c>
      <c r="F25" s="895">
        <v>0.995</v>
      </c>
      <c r="G25" s="894"/>
      <c r="H25" s="889">
        <f>IF(D25&gt;0, F14-D8*(D25/24), 0)</f>
        <v>1.0149999999999999</v>
      </c>
      <c r="I25" s="890">
        <f>IF(D25&gt;0, F14-D9*(D25/24), 0)</f>
        <v>0.92899999999999994</v>
      </c>
      <c r="J25" s="890">
        <f>D5</f>
        <v>17</v>
      </c>
      <c r="K25" s="890">
        <f>D6</f>
        <v>28</v>
      </c>
    </row>
    <row r="26" spans="1:11" x14ac:dyDescent="0.25">
      <c r="A26" s="891">
        <v>45559</v>
      </c>
      <c r="B26" s="892">
        <v>12</v>
      </c>
      <c r="C26" s="893">
        <f>IF(A26&gt;0, A26-A14, 0)</f>
        <v>12</v>
      </c>
      <c r="D26" s="893">
        <f>IF(A26&gt;0,C26*24+(B26-B14),D25)</f>
        <v>284</v>
      </c>
      <c r="E26" s="894">
        <v>25</v>
      </c>
      <c r="F26" s="895">
        <v>0.99299999999999999</v>
      </c>
      <c r="G26" s="894"/>
      <c r="H26" s="889">
        <f>IF(D26&gt;0, F14-D8*(D26/24), 0)</f>
        <v>1.0063333333333333</v>
      </c>
      <c r="I26" s="890">
        <f>IF(D26&gt;0, F14-D9*(D26/24), 0)</f>
        <v>0.91166666666666663</v>
      </c>
      <c r="J26" s="890">
        <f>D5</f>
        <v>17</v>
      </c>
      <c r="K26" s="890">
        <f>D6</f>
        <v>28</v>
      </c>
    </row>
    <row r="27" spans="1:11" x14ac:dyDescent="0.25">
      <c r="A27" s="891">
        <v>45560</v>
      </c>
      <c r="B27" s="892">
        <v>15</v>
      </c>
      <c r="C27" s="893">
        <f>IF(A27&gt;0, A27-A14, 0)</f>
        <v>13</v>
      </c>
      <c r="D27" s="893">
        <f>IF(A27&gt;0,C27*24+(B27-B14),D26)</f>
        <v>311</v>
      </c>
      <c r="E27" s="894">
        <v>25</v>
      </c>
      <c r="F27" s="895">
        <v>0.99099999999999999</v>
      </c>
      <c r="G27" s="894"/>
      <c r="H27" s="889">
        <f>IF(D27&gt;0, F14-D8*(D27/24), 0)</f>
        <v>0.99733333333333329</v>
      </c>
      <c r="I27" s="890">
        <f>IF(D27&gt;0, F14-D9*(D27/24), 0)</f>
        <v>0.89366666666666661</v>
      </c>
      <c r="J27" s="890">
        <f>D5</f>
        <v>17</v>
      </c>
      <c r="K27" s="890">
        <f>D6</f>
        <v>28</v>
      </c>
    </row>
    <row r="28" spans="1:11" x14ac:dyDescent="0.25">
      <c r="A28" s="891">
        <v>45561</v>
      </c>
      <c r="B28" s="892">
        <v>15</v>
      </c>
      <c r="C28" s="893">
        <f>IF(A28&gt;0, A28-A14, 0)</f>
        <v>14</v>
      </c>
      <c r="D28" s="893">
        <f>IF(A28&gt;0,C28*24+(B28-B14),D27)</f>
        <v>335</v>
      </c>
      <c r="E28" s="894"/>
      <c r="F28" s="895"/>
      <c r="G28" s="894"/>
      <c r="H28" s="889">
        <f>IF(D28&gt;0,F14-D8*(D28/24), 0)</f>
        <v>0.98933333333333329</v>
      </c>
      <c r="I28" s="890">
        <f>IF(D28&gt;0, F14-D9*(D28/24), 0)</f>
        <v>0.8776666666666666</v>
      </c>
      <c r="J28" s="890">
        <f>D5</f>
        <v>17</v>
      </c>
      <c r="K28" s="890">
        <f>D6</f>
        <v>28</v>
      </c>
    </row>
    <row r="29" spans="1:11" x14ac:dyDescent="0.25">
      <c r="A29" s="891"/>
      <c r="B29" s="892"/>
      <c r="C29" s="893">
        <f>IF(A29&gt;0, A29-A14, 0)</f>
        <v>0</v>
      </c>
      <c r="D29" s="893">
        <f>IF(A29&gt;0, C29*24+(B29-B14), D28)</f>
        <v>335</v>
      </c>
      <c r="E29" s="894"/>
      <c r="F29" s="895"/>
      <c r="G29" s="894"/>
      <c r="H29" s="889">
        <f>IF(D29&gt;0, F14-D8*(D29/24), 0)</f>
        <v>0.98933333333333329</v>
      </c>
      <c r="I29" s="890">
        <f>IF(D29&gt;0, F14-D9*(D29/24), 0)</f>
        <v>0.8776666666666666</v>
      </c>
      <c r="J29" s="890">
        <f>D5</f>
        <v>17</v>
      </c>
      <c r="K29" s="890">
        <f>D6</f>
        <v>28</v>
      </c>
    </row>
    <row r="30" spans="1:11" x14ac:dyDescent="0.25">
      <c r="A30" s="891"/>
      <c r="B30" s="892"/>
      <c r="C30" s="893">
        <f>IF(A30&gt;0, A30-A14, 0)</f>
        <v>0</v>
      </c>
      <c r="D30" s="893">
        <f>IF(A30&gt;0, C30*24+(B30-B14), D29)</f>
        <v>335</v>
      </c>
      <c r="E30" s="894"/>
      <c r="F30" s="895"/>
      <c r="G30" s="894"/>
      <c r="H30" s="889">
        <f>IF(D30&gt;0, F14-D8*(D30/24), 0)</f>
        <v>0.98933333333333329</v>
      </c>
      <c r="I30" s="890">
        <f>IF(D30&gt;0, F14-D9*(D30/24), 0)</f>
        <v>0.8776666666666666</v>
      </c>
      <c r="J30" s="890">
        <f>D5</f>
        <v>17</v>
      </c>
      <c r="K30" s="890">
        <f>D6</f>
        <v>28</v>
      </c>
    </row>
    <row r="31" spans="1:11" x14ac:dyDescent="0.25">
      <c r="A31" s="891"/>
      <c r="B31" s="897"/>
      <c r="C31" s="893">
        <f>IF(A31&gt;0, A31-A14, 0)</f>
        <v>0</v>
      </c>
      <c r="D31" s="893">
        <f>IF(A31&gt;0, C31*24+(B31-B14), D30)</f>
        <v>335</v>
      </c>
      <c r="E31" s="894"/>
      <c r="F31" s="898"/>
      <c r="G31" s="899"/>
      <c r="H31" s="889">
        <f>IF(D31&gt;0, F14-D8*(D31/24), 0)</f>
        <v>0.98933333333333329</v>
      </c>
      <c r="I31" s="890">
        <f>IF(D31&gt;0, F14-D9*(D31/24), 0)</f>
        <v>0.8776666666666666</v>
      </c>
      <c r="J31" s="890">
        <f>D5</f>
        <v>17</v>
      </c>
      <c r="K31" s="890">
        <f>D6</f>
        <v>28</v>
      </c>
    </row>
    <row r="32" spans="1:11" x14ac:dyDescent="0.25">
      <c r="A32" s="891"/>
      <c r="B32" s="892"/>
      <c r="C32" s="893">
        <f>IF(A32&gt;0, A32-A14, 0)</f>
        <v>0</v>
      </c>
      <c r="D32" s="893">
        <f>IF(A32&gt;0, C32*24+(B32-B14), D31)</f>
        <v>335</v>
      </c>
      <c r="E32" s="894"/>
      <c r="F32" s="895"/>
      <c r="G32" s="894"/>
      <c r="H32" s="889">
        <f>IF(D32&gt;0, F14-D8*(D32/24), 0)</f>
        <v>0.98933333333333329</v>
      </c>
      <c r="I32" s="890">
        <f>IF(D32&gt;0, F14-D9*(D32/24), 0)</f>
        <v>0.8776666666666666</v>
      </c>
      <c r="J32" s="890">
        <f>D5</f>
        <v>17</v>
      </c>
      <c r="K32" s="890">
        <f>D6</f>
        <v>28</v>
      </c>
    </row>
    <row r="33" spans="1:11" x14ac:dyDescent="0.25">
      <c r="A33" s="891"/>
      <c r="B33" s="892"/>
      <c r="C33" s="893">
        <f>IF(A33&gt;0, A33-A14, 0)</f>
        <v>0</v>
      </c>
      <c r="D33" s="893">
        <f>IF(A33&gt;0, C33*24+(B33-B14), D32)</f>
        <v>335</v>
      </c>
      <c r="E33" s="894"/>
      <c r="F33" s="895"/>
      <c r="G33" s="894"/>
      <c r="H33" s="889">
        <f>IF(D33&gt;0, F14-D8*(D33/24), 0)</f>
        <v>0.98933333333333329</v>
      </c>
      <c r="I33" s="890">
        <f>IF(D33&gt;0, F14-D9*(D33/24), 0)</f>
        <v>0.8776666666666666</v>
      </c>
      <c r="J33" s="890">
        <f>D5</f>
        <v>17</v>
      </c>
      <c r="K33" s="890">
        <f>D6</f>
        <v>28</v>
      </c>
    </row>
    <row r="34" spans="1:11" x14ac:dyDescent="0.25">
      <c r="A34" s="891"/>
      <c r="B34" s="892"/>
      <c r="C34" s="893">
        <f>IF(A34&gt;0, A34-A14, 0)</f>
        <v>0</v>
      </c>
      <c r="D34" s="893">
        <f>IF(A34&gt;0, C34*24+(B34-B14), D33)</f>
        <v>335</v>
      </c>
      <c r="E34" s="894"/>
      <c r="F34" s="895"/>
      <c r="G34" s="894"/>
      <c r="H34" s="889">
        <f>IF(D34&gt;0, F14-D8*(D34/24), 0)</f>
        <v>0.98933333333333329</v>
      </c>
      <c r="I34" s="890">
        <f>IF(D34&gt;0, F14-D9*(D34/24), 0)</f>
        <v>0.8776666666666666</v>
      </c>
      <c r="J34" s="890">
        <f>D5</f>
        <v>17</v>
      </c>
      <c r="K34" s="890">
        <f>D6</f>
        <v>28</v>
      </c>
    </row>
    <row r="35" spans="1:11" x14ac:dyDescent="0.25">
      <c r="A35" s="891"/>
      <c r="B35" s="892"/>
      <c r="C35" s="893">
        <f>IF(A35&gt;0, A35-A14, 0)</f>
        <v>0</v>
      </c>
      <c r="D35" s="893">
        <f>IF(A35&gt;0, C35*24+(B35-B14), D34)</f>
        <v>335</v>
      </c>
      <c r="E35" s="894"/>
      <c r="F35" s="895"/>
      <c r="G35" s="894"/>
      <c r="H35" s="889">
        <f>IF(D35&gt;0, F14-D8*(D35/24),0)</f>
        <v>0.98933333333333329</v>
      </c>
      <c r="I35" s="890">
        <f>IF(D35&gt;0, F14-D9*(D35/24), 0)</f>
        <v>0.8776666666666666</v>
      </c>
      <c r="J35" s="890">
        <f>D5</f>
        <v>17</v>
      </c>
      <c r="K35" s="890">
        <f>D6</f>
        <v>28</v>
      </c>
    </row>
    <row r="36" spans="1:11" x14ac:dyDescent="0.25">
      <c r="A36" s="891"/>
      <c r="B36" s="892"/>
      <c r="C36" s="893">
        <f>IF(A36&gt;0, A36-A14, 0)</f>
        <v>0</v>
      </c>
      <c r="D36" s="893">
        <f>IF(A36&gt;0, C36*24+(B36-B14), D35)</f>
        <v>335</v>
      </c>
      <c r="E36" s="894"/>
      <c r="F36" s="895"/>
      <c r="G36" s="894"/>
      <c r="H36" s="889">
        <f>IF(D36&gt;0, F14-D8*(D36/24), 0)</f>
        <v>0.98933333333333329</v>
      </c>
      <c r="I36" s="890">
        <f>IF(D36&gt;0, F14-D9*(D36/24), 0)</f>
        <v>0.8776666666666666</v>
      </c>
      <c r="J36" s="890">
        <f>D5</f>
        <v>17</v>
      </c>
      <c r="K36" s="890">
        <f>D6</f>
        <v>28</v>
      </c>
    </row>
    <row r="37" spans="1:11" x14ac:dyDescent="0.25">
      <c r="A37" s="891"/>
      <c r="B37" s="892"/>
      <c r="C37" s="893">
        <f>IF(A37&gt;0, A37-A14, 0)</f>
        <v>0</v>
      </c>
      <c r="D37" s="893">
        <f>IF(A37&gt;0, C37*24+(B37-B14), D36)</f>
        <v>335</v>
      </c>
      <c r="E37" s="894"/>
      <c r="F37" s="895"/>
      <c r="G37" s="894"/>
      <c r="H37" s="889">
        <f>IF(D37&gt;0, F14-D8*(D37/24), 0)</f>
        <v>0.98933333333333329</v>
      </c>
      <c r="I37" s="890">
        <f>IF(D37&gt;0, F14-D9*(D37/24), 0)</f>
        <v>0.8776666666666666</v>
      </c>
      <c r="J37" s="890">
        <f>D5</f>
        <v>17</v>
      </c>
      <c r="K37" s="890">
        <f>D6</f>
        <v>28</v>
      </c>
    </row>
    <row r="38" spans="1:11" x14ac:dyDescent="0.25">
      <c r="A38" s="891"/>
      <c r="B38" s="892"/>
      <c r="C38" s="893">
        <f>IF(A38&gt;0, A38-A14, 0)</f>
        <v>0</v>
      </c>
      <c r="D38" s="893">
        <f>IF(A38&gt;0, C38*24+(B38-B14), D37)</f>
        <v>335</v>
      </c>
      <c r="E38" s="894"/>
      <c r="F38" s="895"/>
      <c r="G38" s="894"/>
      <c r="H38" s="889">
        <f>IF(D38&gt;0, F14-D8*(D38/24), 0)</f>
        <v>0.98933333333333329</v>
      </c>
      <c r="I38" s="890">
        <f>IF(D38&gt;0, F14-D9*(D38/24), 0)</f>
        <v>0.8776666666666666</v>
      </c>
      <c r="J38" s="890">
        <f>D5</f>
        <v>17</v>
      </c>
      <c r="K38" s="890">
        <f>D6</f>
        <v>28</v>
      </c>
    </row>
    <row r="39" spans="1:11" x14ac:dyDescent="0.25">
      <c r="A39" s="891"/>
      <c r="B39" s="892"/>
      <c r="C39" s="893">
        <f>IF(A39&gt;0, A39-A14, 0)</f>
        <v>0</v>
      </c>
      <c r="D39" s="893">
        <f>IF(A39&gt;0, C39*24+(B39-B14), D38)</f>
        <v>335</v>
      </c>
      <c r="E39" s="894"/>
      <c r="F39" s="895"/>
      <c r="G39" s="894"/>
      <c r="H39" s="889">
        <f>IF(D39&gt;0, F14-D8*(D39/24), 0)</f>
        <v>0.98933333333333329</v>
      </c>
      <c r="I39" s="890">
        <f>IF(D39&gt;0, F14-D9*(D39/24), 0)</f>
        <v>0.8776666666666666</v>
      </c>
      <c r="J39" s="890">
        <f>D5</f>
        <v>17</v>
      </c>
      <c r="K39" s="890">
        <f>D6</f>
        <v>28</v>
      </c>
    </row>
    <row r="40" spans="1:11" x14ac:dyDescent="0.25">
      <c r="A40" s="891"/>
      <c r="B40" s="892"/>
      <c r="C40" s="893">
        <f>IF(A40&gt;0, A40-A14, 0)</f>
        <v>0</v>
      </c>
      <c r="D40" s="893">
        <f>IF(A40&gt;0, C40*24+(B40-B14), D39)</f>
        <v>335</v>
      </c>
      <c r="E40" s="894"/>
      <c r="F40" s="895"/>
      <c r="G40" s="894"/>
      <c r="H40" s="889">
        <f>IF(D40&gt;0, F14-D8*(D40/24), 0)</f>
        <v>0.98933333333333329</v>
      </c>
      <c r="I40" s="890">
        <f>IF(D40&gt;0, F14-D9*(D40/24), 0)</f>
        <v>0.8776666666666666</v>
      </c>
      <c r="J40" s="890">
        <f>D5</f>
        <v>17</v>
      </c>
      <c r="K40" s="890">
        <f>D6</f>
        <v>28</v>
      </c>
    </row>
    <row r="41" spans="1:11" x14ac:dyDescent="0.25">
      <c r="A41" s="891"/>
      <c r="B41" s="892"/>
      <c r="C41" s="893">
        <f>IF(A41&gt;0, A41-A14, 0)</f>
        <v>0</v>
      </c>
      <c r="D41" s="893">
        <f>IF(A41&gt;0, C41*24+(B41-B14), D40)</f>
        <v>335</v>
      </c>
      <c r="E41" s="894"/>
      <c r="F41" s="895"/>
      <c r="G41" s="894"/>
      <c r="H41" s="889">
        <f>IF(D41&gt;0, F14-D8*(D41/24), 0)</f>
        <v>0.98933333333333329</v>
      </c>
      <c r="I41" s="890">
        <f>IF(D41&gt;0, F14-D9*(D41/24), 0)</f>
        <v>0.8776666666666666</v>
      </c>
      <c r="J41" s="890">
        <f>D5</f>
        <v>17</v>
      </c>
      <c r="K41" s="890">
        <f>D6</f>
        <v>28</v>
      </c>
    </row>
    <row r="42" spans="1:11" x14ac:dyDescent="0.25">
      <c r="A42" s="891"/>
      <c r="B42" s="892"/>
      <c r="C42" s="893">
        <f>IF(A42&gt;0, A42-A14, 0)</f>
        <v>0</v>
      </c>
      <c r="D42" s="893">
        <f>IF(A42&gt;0, C42*24+(B42-B14), D41)</f>
        <v>335</v>
      </c>
      <c r="E42" s="894"/>
      <c r="F42" s="895"/>
      <c r="G42" s="894"/>
      <c r="H42" s="889">
        <f>IF(D42&gt;0, F14-D8*(D42/24), 0)</f>
        <v>0.98933333333333329</v>
      </c>
      <c r="I42" s="890">
        <f>IF(D42&gt;0, F14-D9*(D42/24), 0)</f>
        <v>0.8776666666666666</v>
      </c>
      <c r="J42" s="890">
        <f>D5</f>
        <v>17</v>
      </c>
      <c r="K42" s="890">
        <f>D6</f>
        <v>28</v>
      </c>
    </row>
    <row r="43" spans="1:11" x14ac:dyDescent="0.25">
      <c r="A43" s="891"/>
      <c r="B43" s="892"/>
      <c r="C43" s="893">
        <f>IF(A43&gt;0, A43-A14, 0)</f>
        <v>0</v>
      </c>
      <c r="D43" s="893">
        <f>IF(A43&gt;0, C43*24+(B43-B14), D42)</f>
        <v>335</v>
      </c>
      <c r="E43" s="894"/>
      <c r="F43" s="895"/>
      <c r="G43" s="894"/>
      <c r="H43" s="889">
        <f>IF(D43&gt;0, F14-D8*(D43/24), 0)</f>
        <v>0.98933333333333329</v>
      </c>
      <c r="I43" s="890">
        <f>IF(D43&gt;0, F14-D9*(D43/24), 0)</f>
        <v>0.8776666666666666</v>
      </c>
      <c r="J43" s="890">
        <f>D5</f>
        <v>17</v>
      </c>
      <c r="K43" s="890">
        <f>D6</f>
        <v>28</v>
      </c>
    </row>
    <row r="44" spans="1:11" x14ac:dyDescent="0.25">
      <c r="A44" s="891"/>
      <c r="B44" s="892"/>
      <c r="C44" s="893">
        <f>IF(A44&gt;0, A44-A14, 0)</f>
        <v>0</v>
      </c>
      <c r="D44" s="893">
        <f>IF(A44&gt;0, C44*24+(B44-B14), D43)</f>
        <v>335</v>
      </c>
      <c r="E44" s="894"/>
      <c r="F44" s="895"/>
      <c r="G44" s="894"/>
      <c r="H44" s="889">
        <f>IF(D44&gt;0, F14-D8*(D44/24), 0)</f>
        <v>0.98933333333333329</v>
      </c>
      <c r="I44" s="890">
        <f>IF(D44&gt;0, F14-D9*(D44/24), 0)</f>
        <v>0.8776666666666666</v>
      </c>
      <c r="J44" s="890">
        <f>D5</f>
        <v>17</v>
      </c>
      <c r="K44" s="890">
        <f>D6</f>
        <v>28</v>
      </c>
    </row>
    <row r="45" spans="1:11" x14ac:dyDescent="0.25">
      <c r="A45" s="891"/>
      <c r="B45" s="892"/>
      <c r="C45" s="893">
        <f>IF(A45&gt;0, A45-A14, 0)</f>
        <v>0</v>
      </c>
      <c r="D45" s="893">
        <f>IF(A45&gt;0, C45*24+(B45-B14), D44)</f>
        <v>335</v>
      </c>
      <c r="E45" s="894"/>
      <c r="F45" s="895"/>
      <c r="G45" s="894"/>
      <c r="H45" s="889">
        <f>IF(D45&gt;0, F14-D8*(D45/24), 0)</f>
        <v>0.98933333333333329</v>
      </c>
      <c r="I45" s="890">
        <f>IF(D45&gt;0, F14-D9*(D45/24), 0)</f>
        <v>0.8776666666666666</v>
      </c>
      <c r="J45" s="890">
        <f>D5</f>
        <v>17</v>
      </c>
      <c r="K45" s="890">
        <f>D6</f>
        <v>28</v>
      </c>
    </row>
    <row r="46" spans="1:11" x14ac:dyDescent="0.25">
      <c r="A46" s="891"/>
      <c r="B46" s="892"/>
      <c r="C46" s="893">
        <f>IF(A46&gt;0, A46-A14, 0)</f>
        <v>0</v>
      </c>
      <c r="D46" s="893">
        <f>IF(A46&gt;0, C46*24+(B46-B14), D45)</f>
        <v>335</v>
      </c>
      <c r="E46" s="894"/>
      <c r="F46" s="895"/>
      <c r="G46" s="894"/>
      <c r="H46" s="889">
        <f>IF(D46&gt;0, F14-D8*(D46/24), 0)</f>
        <v>0.98933333333333329</v>
      </c>
      <c r="I46" s="890">
        <f>IF(D46&gt;0, F14-D9*(D46/24), 0)</f>
        <v>0.8776666666666666</v>
      </c>
      <c r="J46" s="890">
        <f>D5</f>
        <v>17</v>
      </c>
      <c r="K46" s="890">
        <f>D6</f>
        <v>28</v>
      </c>
    </row>
    <row r="47" spans="1:11" x14ac:dyDescent="0.25">
      <c r="A47" s="891"/>
      <c r="B47" s="892"/>
      <c r="C47" s="893">
        <f>IF(A47&gt;0, A47-A14, 0)</f>
        <v>0</v>
      </c>
      <c r="D47" s="893">
        <f>IF(A47&gt;0, C47*24+(B47-B14), D46)</f>
        <v>335</v>
      </c>
      <c r="E47" s="894"/>
      <c r="F47" s="895"/>
      <c r="G47" s="894"/>
      <c r="H47" s="889">
        <f>IF(D47&gt;0, F14-D8*(D47/24), 0)</f>
        <v>0.98933333333333329</v>
      </c>
      <c r="I47" s="890">
        <f>IF(D47&gt;0, F14-D9*(D47/24), 0)</f>
        <v>0.8776666666666666</v>
      </c>
      <c r="J47" s="890">
        <f>D5</f>
        <v>17</v>
      </c>
      <c r="K47" s="890">
        <f>D6</f>
        <v>28</v>
      </c>
    </row>
    <row r="48" spans="1:11" x14ac:dyDescent="0.25">
      <c r="A48" s="891"/>
      <c r="B48" s="892"/>
      <c r="C48" s="893">
        <f>IF(A48&gt;0, A48-A14, 0)</f>
        <v>0</v>
      </c>
      <c r="D48" s="893">
        <f>IF(A48&gt;0, C48*24+(B48-B14), D47)</f>
        <v>335</v>
      </c>
      <c r="E48" s="894"/>
      <c r="F48" s="895"/>
      <c r="G48" s="894"/>
      <c r="H48" s="889">
        <f>IF(D48&gt;0, F14-D8*(D48/24), 0)</f>
        <v>0.98933333333333329</v>
      </c>
      <c r="I48" s="890">
        <f>IF(D48&gt;0, F14-D9*(D48/24), 0)</f>
        <v>0.8776666666666666</v>
      </c>
      <c r="J48" s="890">
        <f>D5</f>
        <v>17</v>
      </c>
      <c r="K48" s="890">
        <f>D6</f>
        <v>28</v>
      </c>
    </row>
    <row r="49" spans="1:11" x14ac:dyDescent="0.25">
      <c r="A49" s="891"/>
      <c r="B49" s="892"/>
      <c r="C49" s="893">
        <f>IF(A49&gt;0, A49-A14, 0)</f>
        <v>0</v>
      </c>
      <c r="D49" s="893">
        <f>IF(A49&gt;0, C49*24+(B49-B14), D48)</f>
        <v>335</v>
      </c>
      <c r="E49" s="894"/>
      <c r="F49" s="895"/>
      <c r="G49" s="894"/>
      <c r="H49" s="889">
        <f>IF(D49&gt;0, F14-D8*(D49/24), 0)</f>
        <v>0.98933333333333329</v>
      </c>
      <c r="I49" s="890">
        <f>IF(D49&gt;0, F14-D9*(D49/24), 0)</f>
        <v>0.8776666666666666</v>
      </c>
      <c r="J49" s="890">
        <f>D5</f>
        <v>17</v>
      </c>
      <c r="K49" s="890">
        <f>D6</f>
        <v>28</v>
      </c>
    </row>
    <row r="50" spans="1:11" x14ac:dyDescent="0.25">
      <c r="A50" s="891"/>
      <c r="B50" s="892"/>
      <c r="C50" s="893">
        <f>IF(A50&gt;0, A50-A14, 0)</f>
        <v>0</v>
      </c>
      <c r="D50" s="893">
        <f>IF(A50&gt;0, C50*24+(B50-B14), D49)</f>
        <v>335</v>
      </c>
      <c r="E50" s="894"/>
      <c r="F50" s="895"/>
      <c r="G50" s="894"/>
      <c r="H50" s="889">
        <f>IF(D50&gt;0, F14-D8*(D50/24), 0)</f>
        <v>0.98933333333333329</v>
      </c>
      <c r="I50" s="890">
        <f>IF(D50&gt;0, F14-D9*(D50/24), 0)</f>
        <v>0.8776666666666666</v>
      </c>
      <c r="J50" s="890">
        <f>D5</f>
        <v>17</v>
      </c>
      <c r="K50" s="890">
        <f>D6</f>
        <v>28</v>
      </c>
    </row>
    <row r="51" spans="1:11" x14ac:dyDescent="0.25">
      <c r="A51" s="891"/>
      <c r="B51" s="892"/>
      <c r="C51" s="893">
        <f>IF(A51&gt;0, A51-A14, 0)</f>
        <v>0</v>
      </c>
      <c r="D51" s="893">
        <f>IF(A51&gt;0, C51*24+(B51-B14), D50)</f>
        <v>335</v>
      </c>
      <c r="E51" s="894"/>
      <c r="F51" s="895"/>
      <c r="G51" s="894"/>
      <c r="H51" s="889">
        <f>IF(D51&gt;0, F14-D8*(D51/24), 0)</f>
        <v>0.98933333333333329</v>
      </c>
      <c r="I51" s="890">
        <f>IF(D51&gt;0, F14-D9*(D51/24), 0)</f>
        <v>0.8776666666666666</v>
      </c>
      <c r="J51" s="890">
        <f>D5</f>
        <v>17</v>
      </c>
      <c r="K51" s="890">
        <f>D6</f>
        <v>28</v>
      </c>
    </row>
    <row r="52" spans="1:11" x14ac:dyDescent="0.25">
      <c r="A52" s="891"/>
      <c r="B52" s="892"/>
      <c r="C52" s="893">
        <f>IF(A52&gt;0, A52-A14, 0)</f>
        <v>0</v>
      </c>
      <c r="D52" s="893">
        <f>IF(A52&gt;0, C52*24+(B52-B14), D51)</f>
        <v>335</v>
      </c>
      <c r="E52" s="894"/>
      <c r="F52" s="895"/>
      <c r="G52" s="894"/>
      <c r="H52" s="889">
        <f>IF(D52&gt;0, F14-D8*(D52/24), 0)</f>
        <v>0.98933333333333329</v>
      </c>
      <c r="I52" s="890">
        <f>IF(D52&gt;0, F14-D9*(D52/24), 0)</f>
        <v>0.8776666666666666</v>
      </c>
      <c r="J52" s="890">
        <f>D5</f>
        <v>17</v>
      </c>
      <c r="K52" s="890">
        <f>D6</f>
        <v>28</v>
      </c>
    </row>
    <row r="53" spans="1:11" x14ac:dyDescent="0.25">
      <c r="A53" s="891"/>
      <c r="B53" s="892"/>
      <c r="C53" s="893">
        <f>IF(A53&gt;0, A53-A14, 0)</f>
        <v>0</v>
      </c>
      <c r="D53" s="893">
        <f>IF(A53&gt;0, C53*24+(B53-B14), D52)</f>
        <v>335</v>
      </c>
      <c r="E53" s="894"/>
      <c r="F53" s="895"/>
      <c r="G53" s="894"/>
      <c r="H53" s="889">
        <f>IF(D53&gt;0, F14-D8*(D53/24), 0)</f>
        <v>0.98933333333333329</v>
      </c>
      <c r="I53" s="890">
        <f>IF(D53&gt;0, F14-D9*(D53/24), 0)</f>
        <v>0.8776666666666666</v>
      </c>
      <c r="J53" s="890">
        <f>D5</f>
        <v>17</v>
      </c>
      <c r="K53" s="890">
        <f>D6</f>
        <v>28</v>
      </c>
    </row>
    <row r="54" spans="1:11" x14ac:dyDescent="0.25">
      <c r="A54" s="891"/>
      <c r="B54" s="892"/>
      <c r="C54" s="893">
        <f>IF(A54&gt;0, A54-A14, 0)</f>
        <v>0</v>
      </c>
      <c r="D54" s="893">
        <f>IF(A54&gt;0, C54*24+(B54-B14), D53)</f>
        <v>335</v>
      </c>
      <c r="E54" s="894"/>
      <c r="F54" s="895"/>
      <c r="G54" s="894"/>
      <c r="H54" s="889">
        <f>IF(D54&gt;0, F14-D8*(D54/24), 0)</f>
        <v>0.98933333333333329</v>
      </c>
      <c r="I54" s="890">
        <f>IF(D54&gt;0, F14-D9*(D54/24), 0)</f>
        <v>0.8776666666666666</v>
      </c>
      <c r="J54" s="890">
        <f>D5</f>
        <v>17</v>
      </c>
      <c r="K54" s="890">
        <f>D6</f>
        <v>28</v>
      </c>
    </row>
    <row r="55" spans="1:11" x14ac:dyDescent="0.25">
      <c r="A55" s="891"/>
      <c r="B55" s="892"/>
      <c r="C55" s="893">
        <f>IF(A55&gt;0, A55-A14, 0)</f>
        <v>0</v>
      </c>
      <c r="D55" s="893">
        <f>IF(A55&gt;0, C55*24+(B55-B14), D54)</f>
        <v>335</v>
      </c>
      <c r="E55" s="894"/>
      <c r="F55" s="895"/>
      <c r="G55" s="894"/>
      <c r="H55" s="889">
        <f>IF(D55&gt;0, F14-D8*(D55/24), 0)</f>
        <v>0.98933333333333329</v>
      </c>
      <c r="I55" s="890">
        <f>IF(D55&gt;0, F14-D9*(D55/24), 0)</f>
        <v>0.8776666666666666</v>
      </c>
      <c r="J55" s="890">
        <f>D5</f>
        <v>17</v>
      </c>
      <c r="K55" s="890">
        <f>D6</f>
        <v>28</v>
      </c>
    </row>
    <row r="56" spans="1:11" x14ac:dyDescent="0.25">
      <c r="A56" s="891"/>
      <c r="B56" s="892"/>
      <c r="C56" s="893">
        <f>IF(A56&gt;0, A56-A14, 0)</f>
        <v>0</v>
      </c>
      <c r="D56" s="893">
        <f>IF(A56&gt;0, C56*24+(B56-B14), D55)</f>
        <v>335</v>
      </c>
      <c r="E56" s="894"/>
      <c r="F56" s="895"/>
      <c r="G56" s="894"/>
      <c r="H56" s="889">
        <f>IF(D56&gt;0, F14-D8*(D56/24), 0)</f>
        <v>0.98933333333333329</v>
      </c>
      <c r="I56" s="890">
        <f>IF(D56&gt;0, F14-D9*(D56/24), 0)</f>
        <v>0.8776666666666666</v>
      </c>
      <c r="J56" s="890">
        <f>D5</f>
        <v>17</v>
      </c>
      <c r="K56" s="890">
        <f>D6</f>
        <v>28</v>
      </c>
    </row>
  </sheetData>
  <sheetProtection sheet="1" objects="1" scenarios="1"/>
  <mergeCells count="5">
    <mergeCell ref="C2:D2"/>
    <mergeCell ref="C3:D3"/>
    <mergeCell ref="C11:D11"/>
    <mergeCell ref="A2:B2"/>
    <mergeCell ref="A3:B3"/>
  </mergeCells>
  <pageMargins left="0.7" right="0.7" top="0.75" bottom="0.75" header="0.3" footer="0.3"/>
  <pageSetup paperSize="9" orientation="portrait" horizontalDpi="1200" verticalDpi="1200" r:id="rId1"/>
  <headerFooter alignWithMargins="0"/>
  <ignoredErrors>
    <ignoredError sqref="A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MustCalc</vt:lpstr>
      <vt:lpstr>Yeast Grape Pairings</vt:lpstr>
      <vt:lpstr>Scott Lab Yeast Comparison</vt:lpstr>
      <vt:lpstr>Scott Lab Yeast Stats</vt:lpstr>
      <vt:lpstr>Renaissance Yeast</vt:lpstr>
      <vt:lpstr>FERM. TEMP.</vt:lpstr>
      <vt:lpstr>MLF FEASIBILITY</vt:lpstr>
      <vt:lpstr>MLB Chart</vt:lpstr>
      <vt:lpstr>Ferment Graph</vt:lpstr>
      <vt:lpstr>MustCalc!Print_Area</vt:lpstr>
      <vt:lpstr>'Scott Lab Yeast Comparison'!Print_Area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Wyngaards</dc:creator>
  <cp:lastModifiedBy>Willem Wyngaards</cp:lastModifiedBy>
  <cp:lastPrinted>2025-08-08T00:30:58Z</cp:lastPrinted>
  <dcterms:created xsi:type="dcterms:W3CDTF">2024-07-27T20:04:11Z</dcterms:created>
  <dcterms:modified xsi:type="dcterms:W3CDTF">2025-09-09T00:19:49Z</dcterms:modified>
</cp:coreProperties>
</file>